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layton.erik\Desktop\"/>
    </mc:Choice>
  </mc:AlternateContent>
  <xr:revisionPtr revIDLastSave="0" documentId="8_{D315C13D-27E8-4546-9A1B-A3C9743AB8C8}" xr6:coauthVersionLast="36" xr6:coauthVersionMax="36" xr10:uidLastSave="{00000000-0000-0000-0000-000000000000}"/>
  <bookViews>
    <workbookView xWindow="0" yWindow="0" windowWidth="28800" windowHeight="12225" firstSheet="5" activeTab="9" xr2:uid="{00000000-000D-0000-FFFF-FFFF00000000}"/>
  </bookViews>
  <sheets>
    <sheet name="Dados do Contrato" sheetId="28" r:id="rId1"/>
    <sheet name="Indicadores Gerais - 1 a 4" sheetId="5" r:id="rId2"/>
    <sheet name="Bloco 1 - Dot. Orçam. 37.01" sheetId="7" r:id="rId3"/>
    <sheet name="Bloco 2 - Dot.Orçam. 37.04" sheetId="32" r:id="rId4"/>
    <sheet name="Bloco 3 - Dot. Orçam. 37.06" sheetId="33" r:id="rId5"/>
    <sheet name="Bloco 4 - Dot. Orçam. 37.07" sheetId="34" r:id="rId6"/>
    <sheet name="Bloco 5 - Dot. Orçam. 37.08" sheetId="35" r:id="rId7"/>
    <sheet name="Bloco 6 - Dot. Orçam. 37.09" sheetId="30" r:id="rId8"/>
    <sheet name="Bloco 7 - Dot. Orçam. 37.02" sheetId="31" r:id="rId9"/>
    <sheet name="Resumo_GQT-GQL" sheetId="29" r:id="rId10"/>
  </sheets>
  <definedNames>
    <definedName name="_xlnm._FilterDatabase" localSheetId="0" hidden="1">'Dados do Contrato'!#REF!</definedName>
    <definedName name="_xlnm._FilterDatabase" localSheetId="9" hidden="1">'Resumo_GQT-GQL'!#REF!</definedName>
    <definedName name="_xlnm.Print_Area" localSheetId="2">'Bloco 1 - Dot. Orçam. 37.01'!#REF!</definedName>
    <definedName name="_xlnm.Print_Area" localSheetId="3">'Bloco 2 - Dot.Orçam. 37.04'!#REF!</definedName>
    <definedName name="_xlnm.Print_Area" localSheetId="4">'Bloco 3 - Dot. Orçam. 37.06'!#REF!</definedName>
    <definedName name="_xlnm.Print_Area" localSheetId="5">'Bloco 4 - Dot. Orçam. 37.07'!#REF!</definedName>
    <definedName name="_xlnm.Print_Area" localSheetId="6">'Bloco 5 - Dot. Orçam. 37.08'!#REF!</definedName>
    <definedName name="_xlnm.Print_Area" localSheetId="7">'Bloco 6 - Dot. Orçam. 37.09'!#REF!</definedName>
    <definedName name="_xlnm.Print_Area" localSheetId="8">'Bloco 7 - Dot. Orçam. 37.02'!#REF!</definedName>
    <definedName name="_xlnm.Print_Area" localSheetId="0">'Dados do Contrato'!#REF!</definedName>
    <definedName name="_xlnm.Print_Area" localSheetId="1">'Indicadores Gerais - 1 a 4'!#REF!</definedName>
    <definedName name="_xlnm.Print_Area" localSheetId="9">'Resumo_GQT-GQL'!#REF!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1" i="31" l="1"/>
  <c r="M30" i="31"/>
  <c r="M29" i="31"/>
  <c r="M28" i="31"/>
  <c r="M27" i="31"/>
  <c r="M26" i="31"/>
  <c r="M25" i="31"/>
  <c r="M24" i="31"/>
  <c r="M23" i="31"/>
  <c r="M77" i="30"/>
  <c r="M76" i="30"/>
  <c r="M75" i="30"/>
  <c r="M74" i="30"/>
  <c r="M73" i="30"/>
  <c r="M72" i="30"/>
  <c r="M71" i="30"/>
  <c r="M70" i="30"/>
  <c r="M69" i="30"/>
  <c r="M68" i="30"/>
  <c r="M67" i="30"/>
  <c r="M66" i="30"/>
  <c r="M65" i="30"/>
  <c r="M64" i="30"/>
  <c r="M63" i="30"/>
  <c r="M62" i="30"/>
  <c r="M61" i="30"/>
  <c r="M60" i="30"/>
  <c r="M59" i="30"/>
  <c r="M58" i="30"/>
  <c r="M57" i="30"/>
  <c r="M49" i="35"/>
  <c r="M48" i="35"/>
  <c r="M47" i="35"/>
  <c r="M46" i="35"/>
  <c r="M45" i="35"/>
  <c r="M44" i="35"/>
  <c r="M43" i="35"/>
  <c r="M42" i="35"/>
  <c r="M41" i="35"/>
  <c r="M29" i="34"/>
  <c r="M28" i="34"/>
  <c r="M27" i="34"/>
  <c r="M26" i="34"/>
  <c r="M25" i="34"/>
  <c r="M24" i="34"/>
  <c r="M23" i="34"/>
  <c r="M22" i="34"/>
  <c r="M30" i="33"/>
  <c r="M29" i="33"/>
  <c r="M28" i="33"/>
  <c r="M27" i="33"/>
  <c r="M26" i="33"/>
  <c r="M25" i="33"/>
  <c r="M24" i="33"/>
  <c r="M23" i="33"/>
  <c r="M22" i="33"/>
  <c r="M71" i="32"/>
  <c r="M70" i="32"/>
  <c r="M69" i="32"/>
  <c r="M68" i="32"/>
  <c r="M67" i="32"/>
  <c r="M66" i="32"/>
  <c r="M65" i="32"/>
  <c r="M64" i="32"/>
  <c r="M63" i="32"/>
  <c r="M62" i="32"/>
  <c r="M61" i="32"/>
  <c r="M60" i="32"/>
  <c r="M59" i="32"/>
  <c r="M58" i="32"/>
  <c r="M57" i="32"/>
  <c r="M56" i="32"/>
  <c r="M55" i="32"/>
  <c r="M54" i="32"/>
  <c r="M53" i="32"/>
  <c r="M52" i="32"/>
  <c r="M51" i="32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H31" i="31" l="1"/>
  <c r="H30" i="31"/>
  <c r="H29" i="31"/>
  <c r="H28" i="31"/>
  <c r="H27" i="31"/>
  <c r="H26" i="31"/>
  <c r="H25" i="31"/>
  <c r="H24" i="31"/>
  <c r="H23" i="31"/>
  <c r="H77" i="30"/>
  <c r="H76" i="30"/>
  <c r="H75" i="30"/>
  <c r="H74" i="30"/>
  <c r="H73" i="30"/>
  <c r="H72" i="30"/>
  <c r="H71" i="30"/>
  <c r="H70" i="30"/>
  <c r="H69" i="30"/>
  <c r="H68" i="30"/>
  <c r="H67" i="30"/>
  <c r="H66" i="30"/>
  <c r="H65" i="30"/>
  <c r="H64" i="30"/>
  <c r="H63" i="30"/>
  <c r="H62" i="30"/>
  <c r="H61" i="30"/>
  <c r="H60" i="30"/>
  <c r="H59" i="30"/>
  <c r="H58" i="30"/>
  <c r="H57" i="30"/>
  <c r="H49" i="35"/>
  <c r="H48" i="35"/>
  <c r="H47" i="35"/>
  <c r="H46" i="35"/>
  <c r="H45" i="35"/>
  <c r="H44" i="35"/>
  <c r="H43" i="35"/>
  <c r="H42" i="35"/>
  <c r="H41" i="35"/>
  <c r="H29" i="34"/>
  <c r="H28" i="34"/>
  <c r="H27" i="34"/>
  <c r="H26" i="34"/>
  <c r="H25" i="34"/>
  <c r="H24" i="34"/>
  <c r="H23" i="34"/>
  <c r="H22" i="34"/>
  <c r="H30" i="33"/>
  <c r="H29" i="33"/>
  <c r="H28" i="33"/>
  <c r="H27" i="33"/>
  <c r="H26" i="33"/>
  <c r="H25" i="33"/>
  <c r="H24" i="33"/>
  <c r="H23" i="33"/>
  <c r="H22" i="33"/>
  <c r="H71" i="32"/>
  <c r="H70" i="32"/>
  <c r="H69" i="32"/>
  <c r="H68" i="32"/>
  <c r="H67" i="32"/>
  <c r="H66" i="32"/>
  <c r="H65" i="32"/>
  <c r="H64" i="32"/>
  <c r="H63" i="32"/>
  <c r="H62" i="32"/>
  <c r="H61" i="32"/>
  <c r="H60" i="32"/>
  <c r="H59" i="32"/>
  <c r="H58" i="32"/>
  <c r="H57" i="32"/>
  <c r="H56" i="32"/>
  <c r="H55" i="32"/>
  <c r="H54" i="32"/>
  <c r="H53" i="32"/>
  <c r="H52" i="32"/>
  <c r="H51" i="32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E38" i="30" l="1"/>
  <c r="E37" i="30"/>
  <c r="E36" i="30"/>
  <c r="E35" i="30"/>
  <c r="E34" i="30"/>
  <c r="E33" i="30"/>
  <c r="E32" i="30"/>
  <c r="E31" i="30"/>
  <c r="E30" i="30"/>
  <c r="E26" i="30"/>
  <c r="E25" i="30"/>
  <c r="E24" i="30"/>
  <c r="E23" i="30"/>
  <c r="E25" i="7"/>
  <c r="E13" i="31" l="1"/>
  <c r="E12" i="31"/>
  <c r="E11" i="31"/>
  <c r="E10" i="31"/>
  <c r="E9" i="31"/>
  <c r="E8" i="31"/>
  <c r="E47" i="30"/>
  <c r="E46" i="30"/>
  <c r="E45" i="30"/>
  <c r="E44" i="30"/>
  <c r="E43" i="30"/>
  <c r="E42" i="30"/>
  <c r="E22" i="30"/>
  <c r="E21" i="30"/>
  <c r="E20" i="30"/>
  <c r="E19" i="30"/>
  <c r="E14" i="30"/>
  <c r="E13" i="30"/>
  <c r="E12" i="30"/>
  <c r="E11" i="30"/>
  <c r="E10" i="30"/>
  <c r="E9" i="30"/>
  <c r="E8" i="30"/>
  <c r="E31" i="35"/>
  <c r="E30" i="35"/>
  <c r="E29" i="35"/>
  <c r="E28" i="35"/>
  <c r="E27" i="35"/>
  <c r="E26" i="35"/>
  <c r="E21" i="35"/>
  <c r="E20" i="35"/>
  <c r="E19" i="35"/>
  <c r="E18" i="35"/>
  <c r="E17" i="35"/>
  <c r="E12" i="35"/>
  <c r="E11" i="35"/>
  <c r="E10" i="35"/>
  <c r="E9" i="35"/>
  <c r="E8" i="35"/>
  <c r="E12" i="33"/>
  <c r="E11" i="33"/>
  <c r="E10" i="33"/>
  <c r="E9" i="33"/>
  <c r="E8" i="33"/>
  <c r="E12" i="34"/>
  <c r="E11" i="34"/>
  <c r="E10" i="34"/>
  <c r="E9" i="34"/>
  <c r="E8" i="34"/>
  <c r="E13" i="33"/>
  <c r="E41" i="32" l="1"/>
  <c r="E40" i="32"/>
  <c r="E39" i="32"/>
  <c r="E38" i="32"/>
  <c r="E37" i="32"/>
  <c r="E32" i="32"/>
  <c r="E31" i="32"/>
  <c r="E30" i="32"/>
  <c r="E29" i="32"/>
  <c r="E28" i="32"/>
  <c r="E13" i="32"/>
  <c r="E12" i="32"/>
  <c r="E11" i="32"/>
  <c r="E10" i="32"/>
  <c r="E9" i="32"/>
  <c r="E8" i="32"/>
  <c r="E23" i="32"/>
  <c r="E22" i="32"/>
  <c r="E21" i="32"/>
  <c r="E20" i="32"/>
  <c r="E19" i="32"/>
  <c r="E18" i="32"/>
  <c r="D77" i="7"/>
  <c r="D9" i="29" s="1"/>
  <c r="E64" i="7"/>
  <c r="E63" i="7"/>
  <c r="E62" i="7"/>
  <c r="E61" i="7"/>
  <c r="E60" i="7"/>
  <c r="E59" i="7"/>
  <c r="E73" i="7"/>
  <c r="E72" i="7"/>
  <c r="E71" i="7"/>
  <c r="E70" i="7"/>
  <c r="E69" i="7"/>
  <c r="E45" i="7"/>
  <c r="E44" i="7"/>
  <c r="E43" i="7"/>
  <c r="E42" i="7"/>
  <c r="E41" i="7"/>
  <c r="E46" i="7" s="1"/>
  <c r="E54" i="7"/>
  <c r="E53" i="7"/>
  <c r="E52" i="7"/>
  <c r="E51" i="7"/>
  <c r="E50" i="7"/>
  <c r="E24" i="7"/>
  <c r="E23" i="7"/>
  <c r="E22" i="7"/>
  <c r="E21" i="7"/>
  <c r="E20" i="7"/>
  <c r="E19" i="7"/>
  <c r="E18" i="7"/>
  <c r="E35" i="7"/>
  <c r="E34" i="7"/>
  <c r="E33" i="7"/>
  <c r="E32" i="7"/>
  <c r="E31" i="7"/>
  <c r="E30" i="7"/>
  <c r="E29" i="7"/>
  <c r="E13" i="7"/>
  <c r="E12" i="7"/>
  <c r="E11" i="7"/>
  <c r="E10" i="7"/>
  <c r="E9" i="7"/>
  <c r="E8" i="7"/>
  <c r="E52" i="5"/>
  <c r="E51" i="5"/>
  <c r="E50" i="5"/>
  <c r="E49" i="5"/>
  <c r="E48" i="5"/>
  <c r="E47" i="5"/>
  <c r="E46" i="5"/>
  <c r="E45" i="5"/>
  <c r="E44" i="5"/>
  <c r="E43" i="5"/>
  <c r="E39" i="5"/>
  <c r="E38" i="5"/>
  <c r="E37" i="5"/>
  <c r="E36" i="5"/>
  <c r="E35" i="5"/>
  <c r="E34" i="5"/>
  <c r="E33" i="5"/>
  <c r="E32" i="5"/>
  <c r="E31" i="5"/>
  <c r="E30" i="5"/>
  <c r="E29" i="5"/>
  <c r="E28" i="5"/>
  <c r="E11" i="5"/>
  <c r="E10" i="5"/>
  <c r="E9" i="5"/>
  <c r="E8" i="5"/>
  <c r="E7" i="5"/>
  <c r="E6" i="5"/>
  <c r="L29" i="34" l="1"/>
  <c r="L23" i="31" l="1"/>
  <c r="L24" i="31"/>
  <c r="L25" i="31"/>
  <c r="L26" i="31"/>
  <c r="L28" i="31"/>
  <c r="L29" i="31"/>
  <c r="L30" i="31"/>
  <c r="L31" i="31"/>
  <c r="L57" i="30"/>
  <c r="L58" i="30"/>
  <c r="L59" i="30"/>
  <c r="L60" i="30"/>
  <c r="L61" i="30"/>
  <c r="L62" i="30"/>
  <c r="L63" i="30"/>
  <c r="L64" i="30"/>
  <c r="L65" i="30"/>
  <c r="L66" i="30"/>
  <c r="L67" i="30"/>
  <c r="L70" i="30"/>
  <c r="L71" i="30"/>
  <c r="L73" i="30"/>
  <c r="L74" i="30"/>
  <c r="L75" i="30"/>
  <c r="L76" i="30"/>
  <c r="L77" i="30"/>
  <c r="L41" i="35"/>
  <c r="L42" i="35"/>
  <c r="L43" i="35"/>
  <c r="L44" i="35"/>
  <c r="L45" i="35"/>
  <c r="L46" i="35"/>
  <c r="L48" i="35"/>
  <c r="L49" i="35"/>
  <c r="L22" i="34"/>
  <c r="L23" i="34"/>
  <c r="L24" i="34"/>
  <c r="L25" i="34"/>
  <c r="L26" i="34"/>
  <c r="L27" i="34"/>
  <c r="L28" i="34"/>
  <c r="L22" i="33"/>
  <c r="L25" i="33"/>
  <c r="L26" i="33"/>
  <c r="L27" i="33"/>
  <c r="L28" i="33"/>
  <c r="L29" i="33"/>
  <c r="L30" i="33"/>
  <c r="L51" i="32"/>
  <c r="L52" i="32"/>
  <c r="L53" i="32"/>
  <c r="L54" i="32"/>
  <c r="L55" i="32"/>
  <c r="L57" i="32"/>
  <c r="L61" i="32"/>
  <c r="L62" i="32"/>
  <c r="L63" i="32"/>
  <c r="L64" i="32"/>
  <c r="L67" i="32"/>
  <c r="L68" i="32"/>
  <c r="L69" i="32"/>
  <c r="L70" i="32"/>
  <c r="L71" i="32"/>
  <c r="E15" i="5"/>
  <c r="E16" i="5"/>
  <c r="E17" i="5"/>
  <c r="E18" i="5"/>
  <c r="E19" i="5"/>
  <c r="E20" i="5"/>
  <c r="E21" i="5"/>
  <c r="E22" i="5"/>
  <c r="E23" i="5"/>
  <c r="E24" i="5"/>
  <c r="L83" i="7"/>
  <c r="L84" i="7"/>
  <c r="L86" i="7"/>
  <c r="L87" i="7"/>
  <c r="L88" i="7"/>
  <c r="L89" i="7"/>
  <c r="L90" i="7"/>
  <c r="L91" i="7"/>
  <c r="L92" i="7"/>
  <c r="L93" i="7"/>
  <c r="L94" i="7"/>
  <c r="L95" i="7"/>
  <c r="L96" i="7"/>
  <c r="L99" i="7"/>
  <c r="L100" i="7"/>
  <c r="L101" i="7"/>
  <c r="L102" i="7"/>
  <c r="L103" i="7"/>
  <c r="L104" i="7"/>
  <c r="L105" i="7"/>
  <c r="L106" i="7"/>
  <c r="L107" i="7"/>
  <c r="L97" i="7"/>
  <c r="L98" i="7"/>
  <c r="E19" i="31"/>
  <c r="D32" i="31"/>
  <c r="G31" i="31"/>
  <c r="G30" i="31"/>
  <c r="G29" i="31"/>
  <c r="G28" i="31"/>
  <c r="L27" i="31"/>
  <c r="G27" i="31"/>
  <c r="G26" i="31"/>
  <c r="G25" i="31"/>
  <c r="G24" i="31"/>
  <c r="G23" i="31"/>
  <c r="L68" i="30"/>
  <c r="L69" i="30"/>
  <c r="D78" i="30"/>
  <c r="G77" i="30"/>
  <c r="G76" i="30"/>
  <c r="G75" i="30"/>
  <c r="G74" i="30"/>
  <c r="G73" i="30"/>
  <c r="L72" i="30"/>
  <c r="G72" i="30"/>
  <c r="G71" i="30"/>
  <c r="G70" i="30"/>
  <c r="G69" i="30"/>
  <c r="G68" i="30"/>
  <c r="G67" i="30"/>
  <c r="G66" i="30"/>
  <c r="G65" i="30"/>
  <c r="G64" i="30"/>
  <c r="G63" i="30"/>
  <c r="G62" i="30"/>
  <c r="G61" i="30"/>
  <c r="G60" i="30"/>
  <c r="G59" i="30"/>
  <c r="G58" i="30"/>
  <c r="G57" i="30"/>
  <c r="E53" i="30"/>
  <c r="E37" i="35"/>
  <c r="D50" i="35"/>
  <c r="G49" i="35"/>
  <c r="G48" i="35"/>
  <c r="L47" i="35"/>
  <c r="G47" i="35"/>
  <c r="G46" i="35"/>
  <c r="G45" i="35"/>
  <c r="G44" i="35"/>
  <c r="G43" i="35"/>
  <c r="G42" i="35"/>
  <c r="G41" i="35"/>
  <c r="E18" i="34"/>
  <c r="D30" i="34"/>
  <c r="G29" i="34"/>
  <c r="G28" i="34"/>
  <c r="G27" i="34"/>
  <c r="G26" i="34"/>
  <c r="G25" i="34"/>
  <c r="G24" i="34"/>
  <c r="G23" i="34"/>
  <c r="G22" i="34"/>
  <c r="E18" i="33"/>
  <c r="D31" i="33"/>
  <c r="G30" i="33"/>
  <c r="G29" i="33"/>
  <c r="G28" i="33"/>
  <c r="G27" i="33"/>
  <c r="G26" i="33"/>
  <c r="G25" i="33"/>
  <c r="L24" i="33"/>
  <c r="G24" i="33"/>
  <c r="L23" i="33"/>
  <c r="G23" i="33"/>
  <c r="G22" i="33"/>
  <c r="E47" i="32"/>
  <c r="D72" i="32"/>
  <c r="G71" i="32"/>
  <c r="G70" i="32"/>
  <c r="G69" i="32"/>
  <c r="G68" i="32"/>
  <c r="G67" i="32"/>
  <c r="L66" i="32"/>
  <c r="G66" i="32"/>
  <c r="L65" i="32"/>
  <c r="G65" i="32"/>
  <c r="G64" i="32"/>
  <c r="G63" i="32"/>
  <c r="G62" i="32"/>
  <c r="G61" i="32"/>
  <c r="L60" i="32"/>
  <c r="G60" i="32"/>
  <c r="L59" i="32"/>
  <c r="G59" i="32"/>
  <c r="L58" i="32"/>
  <c r="G58" i="32"/>
  <c r="G57" i="32"/>
  <c r="L56" i="32"/>
  <c r="G56" i="32"/>
  <c r="G55" i="32"/>
  <c r="G54" i="32"/>
  <c r="G53" i="32"/>
  <c r="G52" i="32"/>
  <c r="G51" i="32"/>
  <c r="E79" i="7"/>
  <c r="D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32" i="31" l="1"/>
  <c r="G30" i="34"/>
  <c r="M30" i="34"/>
  <c r="G12" i="29" s="1"/>
  <c r="M32" i="31"/>
  <c r="G15" i="29" s="1"/>
  <c r="G108" i="7"/>
  <c r="M78" i="30"/>
  <c r="G14" i="29" s="1"/>
  <c r="G78" i="30"/>
  <c r="M50" i="35"/>
  <c r="G13" i="29" s="1"/>
  <c r="G50" i="35"/>
  <c r="G31" i="33"/>
  <c r="M31" i="33"/>
  <c r="G11" i="29" s="1"/>
  <c r="M72" i="32"/>
  <c r="G10" i="29" s="1"/>
  <c r="G72" i="32"/>
  <c r="L85" i="7"/>
  <c r="M108" i="7" l="1"/>
  <c r="G9" i="29" s="1"/>
  <c r="G16" i="29" s="1"/>
  <c r="H4" i="28"/>
  <c r="B9" i="29"/>
  <c r="D17" i="31" l="1"/>
  <c r="D15" i="29" s="1"/>
  <c r="D51" i="30"/>
  <c r="D14" i="29" s="1"/>
  <c r="D35" i="35"/>
  <c r="D13" i="29" s="1"/>
  <c r="D16" i="34"/>
  <c r="D12" i="29" s="1"/>
  <c r="D16" i="33"/>
  <c r="D11" i="29" s="1"/>
  <c r="D45" i="32"/>
  <c r="D10" i="29" s="1"/>
  <c r="B8" i="29"/>
  <c r="B15" i="29"/>
  <c r="B14" i="29"/>
  <c r="B13" i="29"/>
  <c r="B12" i="29"/>
  <c r="B11" i="29"/>
  <c r="B10" i="29"/>
  <c r="D16" i="29" l="1"/>
  <c r="F4" i="28" s="1"/>
  <c r="E16" i="33"/>
  <c r="C11" i="29" s="1"/>
  <c r="E33" i="32"/>
  <c r="E15" i="29" l="1"/>
  <c r="E13" i="29"/>
  <c r="E12" i="29"/>
  <c r="E11" i="29"/>
  <c r="E10" i="29"/>
  <c r="E14" i="29"/>
  <c r="E9" i="29"/>
  <c r="E32" i="35"/>
  <c r="E14" i="31"/>
  <c r="E17" i="31" s="1"/>
  <c r="C15" i="29" s="1"/>
  <c r="E13" i="35"/>
  <c r="E22" i="35"/>
  <c r="E13" i="34"/>
  <c r="E16" i="34" s="1"/>
  <c r="C12" i="29" s="1"/>
  <c r="E42" i="32"/>
  <c r="E24" i="32"/>
  <c r="E45" i="32" s="1"/>
  <c r="E14" i="32"/>
  <c r="E16" i="29" l="1"/>
  <c r="E35" i="35"/>
  <c r="C13" i="29" s="1"/>
  <c r="C10" i="29"/>
  <c r="E15" i="30" l="1"/>
  <c r="E48" i="30"/>
  <c r="E51" i="30" l="1"/>
  <c r="C14" i="29" s="1"/>
  <c r="E14" i="7" l="1"/>
  <c r="E65" i="7"/>
  <c r="E55" i="7"/>
  <c r="E74" i="7"/>
  <c r="E36" i="7"/>
  <c r="E77" i="7" s="1"/>
  <c r="C9" i="29" l="1"/>
  <c r="E54" i="5" l="1"/>
  <c r="C8" i="29" l="1"/>
  <c r="C16" i="29" l="1"/>
  <c r="C4" i="29" s="1"/>
  <c r="F4" i="29" l="1"/>
  <c r="G4" i="29" s="1"/>
  <c r="F11" i="29" l="1"/>
  <c r="H11" i="29" s="1"/>
  <c r="I11" i="29" s="1"/>
  <c r="F10" i="29"/>
  <c r="H10" i="29" s="1"/>
  <c r="I10" i="29" s="1"/>
  <c r="F9" i="29"/>
  <c r="F12" i="29"/>
  <c r="H12" i="29" s="1"/>
  <c r="I12" i="29" s="1"/>
  <c r="F15" i="29"/>
  <c r="H15" i="29" s="1"/>
  <c r="I15" i="29" s="1"/>
  <c r="F14" i="29"/>
  <c r="H14" i="29" s="1"/>
  <c r="I14" i="29" s="1"/>
  <c r="F13" i="29"/>
  <c r="H13" i="29" s="1"/>
  <c r="I13" i="29" s="1"/>
  <c r="H9" i="29" l="1"/>
  <c r="F16" i="29"/>
  <c r="H16" i="29" l="1"/>
  <c r="I9" i="29"/>
  <c r="I16" i="29" s="1"/>
</calcChain>
</file>

<file path=xl/sharedStrings.xml><?xml version="1.0" encoding="utf-8"?>
<sst xmlns="http://schemas.openxmlformats.org/spreadsheetml/2006/main" count="578" uniqueCount="208">
  <si>
    <t>Descrição (ocorrência)</t>
  </si>
  <si>
    <t>PONTOS</t>
  </si>
  <si>
    <t>GLOSA</t>
  </si>
  <si>
    <t>VALOR DO POSTO</t>
  </si>
  <si>
    <t>CARGA HORÁRIA SEMANAL</t>
  </si>
  <si>
    <t>Gradação</t>
  </si>
  <si>
    <t>POSTO</t>
  </si>
  <si>
    <t>INDICADOR Nº 01 – UNIFORMES, IDENTIFICAÇÃO E EPI</t>
  </si>
  <si>
    <t>Deixar de fornecer conjunto completo de uniforme aos seus funcionários no início da prestação de serviços ou na substituição destes nos prazos e condições previstas no Edital</t>
  </si>
  <si>
    <t>Deixar de fornecer crachás de identificação aos seus funcionários nos prazos e condições previstas no Edital</t>
  </si>
  <si>
    <t>Não utilização de EPI; uso de EPI incompleto ou inadequado; EPI excessivamente danificado</t>
  </si>
  <si>
    <t>Não utilização de crachá de identificação</t>
  </si>
  <si>
    <t>Deixar de fornecer EPI aos seus funcionários nos prazos e condições previstas no Edital</t>
  </si>
  <si>
    <t>Não Utilização do uniforme; uso de uniforme incompleto ou inadequado; uniforme excessivamente danificado</t>
  </si>
  <si>
    <t>INDICADOR Nº 02 – MATERIAIS E EQUIPAMENTOS</t>
  </si>
  <si>
    <t>Deixar de fornecer os materiais e insumos necessários à execução dos serviços</t>
  </si>
  <si>
    <t xml:space="preserve">Deixar de fornecer os equipamentos necessários à execução dos serviços </t>
  </si>
  <si>
    <t xml:space="preserve">Falta de material em quantidade suficiente à execução dos serviços </t>
  </si>
  <si>
    <t>Falta de equipamentos em quantidade suficiente  à execução dos serviços</t>
  </si>
  <si>
    <t xml:space="preserve">Não substituição de materiais de má qualidade e em desconformidade com os especificados  ao atendimento da execução dos serviços </t>
  </si>
  <si>
    <t>Não substituição de equipamentos defeituosos, quebrados, em más condições de uso ou em desconformidade com as especificações do Edital</t>
  </si>
  <si>
    <t>Não entregar, no todo ou em parte, o material de consumo necessário para a perfeita execução dos serviços, de acordo com a programação previamente definida pelo Fiscal do Contrato, em até 10 dias da formalização do pedido do Fiscal</t>
  </si>
  <si>
    <t xml:space="preserve">Entregar materiais de consumo e/ou utensílios e equipamentos de qualidade inferior ao especificado no Termo de Referência, não efetuando a troca em até 05 dias após formalizada a não conformidade </t>
  </si>
  <si>
    <t>Não entregar/substituir, no todo ou em parte,
os utensílios e equipamentos no prazo acordado</t>
  </si>
  <si>
    <t>Deixar de realizar controle do estoque dos materiais de consumo e utensílios, informando o fiscal do contrato sobre a necessidade de  reposição desses materiais</t>
  </si>
  <si>
    <t>INDICADOR Nº 03 – OBRIGAÇÕES ADMINISTRATIVAS, LEGAIS E TRABALHISTAS</t>
  </si>
  <si>
    <t xml:space="preserve">Atraso no pagamento de salários, vales transporte e refeição, seguros, encargos fiscais e sociais, bem como quaisquer despesas diretas e/ou indiretas relacionadas a execução do contrato nas datas estipuladas pela legislação pertinente a cada fato </t>
  </si>
  <si>
    <t xml:space="preserve">Na eventualidade da inadimplência das obrigações trabalhista, a contratada, a pedido da Administração, deverá fornecer, a folha de pagamento analítica do mês em referência, a listagem com os dados bancários necessários para realização dos depósitos, bem como todos os demais documentos necessários para efetivação de tal medida.  </t>
  </si>
  <si>
    <t>Atraso injustificado no atendimento às determinações da contratante referentes à situação de Regularização Fiscal pelo Certificado de Regularidade Fiscal (CRF), emitido por meio do Sistema de Gestão de Materiais e Serviços - GMS conforme prazos e demais condições estabelecidas no Edital.</t>
  </si>
  <si>
    <t>Deixar de prestar esclarecimentos solicitados pela contratante ou demorar período superior a 3 (três) dias</t>
  </si>
  <si>
    <t xml:space="preserve">Deixar de exercer o controle das atividades dos empregados alocados na prestação dos serviços ou deixar de instruir os seus empregados a respeito das atividades a serem desempenhadas, alertando-os, a não executar atividades não abrangidas pelo contrato, a fim de evitar desvio de função.   </t>
  </si>
  <si>
    <t>Deixar de apresentar o Certificado de Aprovação (CA) dos Equipamentos de Proteção Individual (EPIs) em todas as entregas ou substituições de EPIs ou na renovação do próprio Certificado de Aprovação (CA).</t>
  </si>
  <si>
    <t>Deixar de cumprir qualquer condição contratada que não esteja prevista nesta tabela na apresentação da Nota Fiscal e dos demais documentos exigidos, conforme prazos e demais condições estabelecidas no Edital, por período superior a 10 (dez) dias</t>
  </si>
  <si>
    <t>Deixar de comprovar que seus colaboradores fizeram os treinamentos previstos no edital e na legislação</t>
  </si>
  <si>
    <t>Deixar de cumprir as reservas de cotas previstas no edital ou em legislações ou de justificar a impossibilidade de seu atendimento</t>
  </si>
  <si>
    <t>Deixar de cumprir a legislação trabalhista em relação aos contratos individuais de trabalho.</t>
  </si>
  <si>
    <t>Manter empregado em atividade laboral no período intrajornada de forma irregular.</t>
  </si>
  <si>
    <t>Realização de dobras de turno quando o trabalho for prestado no regime 12x36</t>
  </si>
  <si>
    <t>INDICADOR Nº 04 – FUNCIONÁRIOS</t>
  </si>
  <si>
    <t xml:space="preserve">Falta de funcionário sem imediata substituição nos prazos e condições previstas no Edital </t>
  </si>
  <si>
    <t xml:space="preserve">Falta de funcionário sem imediata substituição por período inferior a um dia </t>
  </si>
  <si>
    <t>Saída de funcionário do local da prestação de serviços durante o expediente injustificadamente e sem anuência prévia da contratante</t>
  </si>
  <si>
    <t xml:space="preserve">Deixar de cumprir o horário estabelecido pelo contrato ou determinado pela Fiscalização </t>
  </si>
  <si>
    <t xml:space="preserve">Recusar-se a executar serviço previsto no contrato e determinado pela fiscalização </t>
  </si>
  <si>
    <t xml:space="preserve">Destruir ou danificar documentos por culpa de seus empregados </t>
  </si>
  <si>
    <t>Conduta incompatível com as atribuições, comportamento inadequado</t>
  </si>
  <si>
    <t xml:space="preserve">Falta de cordialidade no trato com os servidores, usuários e colegas de trabalho  </t>
  </si>
  <si>
    <t>Alocar colaborador que não atende os requisitos mínimos exigidos no edital</t>
  </si>
  <si>
    <t>Deixar de substituir empregado com rendimento insatisfatório ou que tenha conduta incompatível com suas atribuições</t>
  </si>
  <si>
    <t>Deixar de efetuar alguma das atividades de acordo com as condições de execução e periodicidade previstas no Termo de Referência.</t>
  </si>
  <si>
    <t>Deixar de revisar as falhas apontados pela contratante, nos serviços prestados durante o mês, bem como não apresentar relatório das soluções adotadas.</t>
  </si>
  <si>
    <t>Deixar de controlar assiduidade e pontualidade da equipe de trabalho.</t>
  </si>
  <si>
    <t>Deixar de manter o controle de escala de trabalho, férias, licenças, faltas ou não realizar o check list diário das rotinas dos colaboradores</t>
  </si>
  <si>
    <t>Deixar de controlar a produtividade e a qualidade do trabalho, conforme necessidade do serviço e orientações previstas na contratação.</t>
  </si>
  <si>
    <t>Deixar de fornecer orientações aos colaboradores quando necessário</t>
  </si>
  <si>
    <t xml:space="preserve">Utilização inadequada dos produtos e materiais de limpeza prejudicando o resultado dos serviços ou resultando no desperdiço indevido de produtos e materiais. </t>
  </si>
  <si>
    <t>Não limpar adequadamente as áreas, deixando sujeiras e outros resíduos.</t>
  </si>
  <si>
    <t>Não realizar a correta separação e destinação do lixo</t>
  </si>
  <si>
    <t>Não utilizar os EPI’s adequados.</t>
  </si>
  <si>
    <t>Não participar de cursos, capacitações, reuniões, seminários ou outros encontros correlatos às funções exercidas, ou sempre que convocado</t>
  </si>
  <si>
    <t>TOTAL - INDICADORES GERAIS 1 A 4</t>
  </si>
  <si>
    <t>Deixar de revisar as falhas apontadas pela contratante, nos serviços prestados durante o mês, bem como não apresentar relatório das soluções adotadas.</t>
  </si>
  <si>
    <t>Não anotar no livro de ocorrências todos os fatos alheios ao andamento normal da CONTRATANTE</t>
  </si>
  <si>
    <t xml:space="preserve">Não fiscalizar, observar e orientar a entrada e saída de pessoas e veículos, ou </t>
  </si>
  <si>
    <t>Não verificar no final do expediente: se há luzes acesas, fechar as dependências, e qualquer outra ocorrência que seja necessária à sua intervenção.</t>
  </si>
  <si>
    <t>Não controlar a entrada e saída de pessoas e veículos</t>
  </si>
  <si>
    <t>Deixar de Registrar as visitas e os telefones atendidos, bem como deixar de anotar os dados pessoais e comerciais do visitante.</t>
  </si>
  <si>
    <t>Não recepcionar visitantes, ou não prestar serviços de apoio, ou não identificar, averiguar ou encaminhar as pessoas aos destinatários</t>
  </si>
  <si>
    <t>Não observar normas internas de segurança, ou não conferir documentos ou inidoneidade dos visitantes, ou não notificar seguranças sobre pessoas estranhas.</t>
  </si>
  <si>
    <t>Não atender chamadas telefônicas, não prestar informações, transferência de ligações ou anotar recados</t>
  </si>
  <si>
    <t>Não efetuar a capinação nas áreas indicadas pela CONTRATANTE, deixando plantas desnecessárias, grama alta ou árvores que impeçam a passagem de pessoas.</t>
  </si>
  <si>
    <t>Não proceder a uma revisão minuciosa de todos os serviços prestados durante o mês, ou não apresentar relatório das soluções adotadas, referente às falhas apontadas pelo preposto da CONTRATANTE.</t>
  </si>
  <si>
    <t>Não remover os invasores do gramado ou não embalar os resíduos oriundos do serviço em recipiente específico, obedecidas as normas da Legislação Ambiental. </t>
  </si>
  <si>
    <t>Não utilizar roupas específicas para o desenvolvimento do trabalho, bem como calçados fechados e Equipamentos de Proteção Individual – EPIs</t>
  </si>
  <si>
    <t>Deixar cumprir os requisitos de higiene pessoal e relacionados a manipulação de Alimentos.</t>
  </si>
  <si>
    <t>Deixar de armazenar adequadamente os alimentos perecíveis e não perecíveis, com a verificação da quantidade e qualidade dos alimentos.</t>
  </si>
  <si>
    <t>Não seguir as sugestões de cardápios, bem como consultar as fichas técnicas de preparo enviadas pela equipe de nutricionistas</t>
  </si>
  <si>
    <t>Permitir entrada de pessoas de outros setores, e sem uso de toucas, ou não conhecer e cumprir as normativas de boas práticas de manipulação de alimentos, Procedimentos Operacionais Padrão – POPs, e medidas de Segurança no Trabalho.</t>
  </si>
  <si>
    <t>Não manter limpos os pisos, eletrodomésticos, bancadas, armários e demais itens da cantina</t>
  </si>
  <si>
    <t>Deixar de servir ou preparar café, chás e correlatos</t>
  </si>
  <si>
    <t>Desperdiçar ingredientes para o preparo do café, chás e correlatos ou utilizar de forma indevida os materiais de limpeza</t>
  </si>
  <si>
    <t>Permitir acessos não autorizados ou de pessoas sem identificação</t>
  </si>
  <si>
    <t>Deixar de realizar as anotações diárias de controle de entrada e saída de pessoas ou veículos</t>
  </si>
  <si>
    <t>Deixar de comunicar eventuais aglomerações ou invasões ao prédio</t>
  </si>
  <si>
    <t>Não efetuar roçadas e capinações nos locais indicados pelo órgão/entidade CONTRATANTE,</t>
  </si>
  <si>
    <t>Não utilizar corretamente a roçadeira e os equipamentos EPI’s,</t>
  </si>
  <si>
    <t>Não preparar máquinas e equipamentos para operação, ou não controlar o funcionamento das caldeiras e a qualidade da água</t>
  </si>
  <si>
    <t>Não operar sistemas de bombeamento e compressores de ar, ou não controlar o funcionamento de máquinas fixas</t>
  </si>
  <si>
    <t>Não realizar manutenção de rotina em máquinas e equipamentos, ou não trabalhar segundo normas e procedimentos de segurança.</t>
  </si>
  <si>
    <t>Deixar de realizar o cozimento das refeições nos horários estabelecidos pela contratante.</t>
  </si>
  <si>
    <t>Deixar de zelar pela conservação adequada dos alimentos estocados e armazenados, provocando deterioração ou perdas.</t>
  </si>
  <si>
    <t>Não preparar as refeições de acordo com os métodos de cozimento e padrões de qualidade estabelecidos</t>
  </si>
  <si>
    <t>Desperdiçar alimentos</t>
  </si>
  <si>
    <t>Deixar de comunicar a falta de ingredientes e condimentos necessários para o preparo dos alimentos</t>
  </si>
  <si>
    <t>Deixar de realizar o cozimento das refeições de acordo com os métodos e padrões de qualidade.</t>
  </si>
  <si>
    <t>Deixar de zelar pela conservação adequada dos alimentos estocados e armazenados.</t>
  </si>
  <si>
    <t>Deixar de seguir os Procedimentos Operacionais Padrões (POP’s) do setor.</t>
  </si>
  <si>
    <t>Deixar de observar as orientações feitas pelo cozinheiro(a)</t>
  </si>
  <si>
    <t>Danificar as vestimentas</t>
  </si>
  <si>
    <t>Não efetuar a devida higienização das roupas</t>
  </si>
  <si>
    <t>Desperdiçar os produtos utilizados para as lavagens</t>
  </si>
  <si>
    <t xml:space="preserve">Não executar tarefas de lavagem dos veículos e equipamentos, deixando pó ou outros detritos na parte interna ou externa. </t>
  </si>
  <si>
    <t>Não lavar a lataria, vidros e outras partes necessárias do veículo utilizando equipamento e material apropriado.</t>
  </si>
  <si>
    <t>Não controlar o estoque de material de limpeza, bem como a periodicidade da lavagem dos veículos, ou não cuidar do posto de trabalho, limpando e organizando o espaço físico e recursos materiais sob sua responsabilidade.</t>
  </si>
  <si>
    <t>Não preparar e movimentar cargas, ou não organizar a carga</t>
  </si>
  <si>
    <t>Não carregar e descarregar itens, ou não retirar obstáculos do local de trabalho.</t>
  </si>
  <si>
    <t>Não observar e cumprir as normas de segurança, ou não fazer uso constante de equipamento de proteção individual (EPI), ou não operar o veículo de maneira adequada, evitando gastos desnecessários com manutenção e reparo.</t>
  </si>
  <si>
    <t>Não conferir conteúdo, peso, volume e condições físicas das mercadorias, ou não inspecionar os veículos e solicitar manutenções periódicas. </t>
  </si>
  <si>
    <t>Não fornecer a alimentação dos animais ou não providenciar a troca e limpeza periódicas do ambiente, ou não monitorar rigorosamente a água oferecida aos animais.</t>
  </si>
  <si>
    <t>Não descartar de resíduos orgânicos e inorgânicos, de acordo com a orientação do Contratante, ou não utilizar o uniforme da empresa.</t>
  </si>
  <si>
    <t>Não utilizar equipamentos de proteção individual adotadas na área, ou não participar de cursos, capacitações, reuniões, seminários ou outros encontros correlatos às funções exercidas, ou sempre que convocado.</t>
  </si>
  <si>
    <t>Não executar processos de higiene, ou não realizar a limpeza da área (incluindo lavagem de caixas), ou não realizar limpeza (varrer, puxar a água, levar o lixo para lixeira) de área interna e externa, conforme orientação do Contratante.</t>
  </si>
  <si>
    <t>Negligenciar ou não atentar para as normas de segurança na execução dos trabalhos</t>
  </si>
  <si>
    <t>Deixar de efetuar as manutenções solicitadas</t>
  </si>
  <si>
    <t>Danificar o patrimônio do contratante por negligência</t>
  </si>
  <si>
    <t>Não executar tarefas de lavagem dos vidros, janelas e fachadas, deixando pó ou outros detritos em ambientes interno ou externo.</t>
  </si>
  <si>
    <t>Não lavar os vidros e janelas internas utilizando-se de material e produtos específicos.</t>
  </si>
  <si>
    <t>Deixar de utilizar os equipamentos de proteção individual adequados e necessários para a sua segurança e de terceiros</t>
  </si>
  <si>
    <t>Deixar de manter em ordem e limpo a área de trabalho removendo os resíduos e mantendo seco o local.</t>
  </si>
  <si>
    <t>Não executar tarefas de jardinagem, podas e roçadas, deixando detritos nos ambientes onde os serviços foram realizados.</t>
  </si>
  <si>
    <t>Executar parcialmente os serviços de jardinagem, podas, roçadas, ou demais serviços previstos no Termo de Referência/Especificações Técnicas.</t>
  </si>
  <si>
    <t>Executar atividades alheias aos serviços inerentes ao posto.</t>
  </si>
  <si>
    <t>Deixar de promover atividades de fiscalização do transporte e o descarte de resíduos em áreas ambientais.</t>
  </si>
  <si>
    <t>Deixar de acompanhar o fluxo de pessoas ou veículos nos parques e locais de visitações.</t>
  </si>
  <si>
    <t>Deixar de realizar atividades de monitoramento e vigilância da cobertura florestal, bem como a fiscalização da poluição sonora nos parques e ambientes de visitação.</t>
  </si>
  <si>
    <t>INFORMAÇÕES DO CONTRATO</t>
  </si>
  <si>
    <t>PERÍODO SEM COBERTURA EM MINUTOS</t>
  </si>
  <si>
    <t>Total</t>
  </si>
  <si>
    <t>PE 847/2024 - LIMPEZA E CONSERVAÇÃO - INSTRUMENTO DE MEDIÇÃO DE RESULTADOS - IMR</t>
  </si>
  <si>
    <t>Coluna1</t>
  </si>
  <si>
    <t>DIAS</t>
  </si>
  <si>
    <t>HORAS</t>
  </si>
  <si>
    <t>MINUTOS</t>
  </si>
  <si>
    <t>Posto</t>
  </si>
  <si>
    <t>Carga Horária Semanal</t>
  </si>
  <si>
    <t>Referência horas cfe carga horária</t>
  </si>
  <si>
    <t>Cálculo do período sem cobertura</t>
  </si>
  <si>
    <t>Dias</t>
  </si>
  <si>
    <t>Horas</t>
  </si>
  <si>
    <t>Minutos</t>
  </si>
  <si>
    <t>Total em minutos</t>
  </si>
  <si>
    <t>Glosa</t>
  </si>
  <si>
    <t>Percentual do Desconto</t>
  </si>
  <si>
    <t>EMPRESA:</t>
  </si>
  <si>
    <t>QUANTIDADE DE POSTOS:</t>
  </si>
  <si>
    <t>LOTE:</t>
  </si>
  <si>
    <t>NÚMERO:</t>
  </si>
  <si>
    <t>Valor do Desconto</t>
  </si>
  <si>
    <t>Quantidade</t>
  </si>
  <si>
    <t>QTDE FUNCIONÁRIOS</t>
  </si>
  <si>
    <t>TOTAL</t>
  </si>
  <si>
    <t>Pontuação Total</t>
  </si>
  <si>
    <t>ENCARREGADOS(AS)</t>
  </si>
  <si>
    <t>AUXILIARES DE SERVIÇOS GERAIS</t>
  </si>
  <si>
    <t>SERVENTES DE LIMPEZA</t>
  </si>
  <si>
    <t>INDICADOR Nº 05 – EXECUÇÃO DOS SERVIÇOS</t>
  </si>
  <si>
    <t>RECEPCIONISTAS</t>
  </si>
  <si>
    <t>JARDINEIROS</t>
  </si>
  <si>
    <t>PORTEIROS</t>
  </si>
  <si>
    <t>MERENDEIROS(AS)</t>
  </si>
  <si>
    <t>COPEIROS(AS)</t>
  </si>
  <si>
    <t>CONTROLADORES DE ACESSO</t>
  </si>
  <si>
    <t>OPERADORES DE MÁQUINA COSTAL</t>
  </si>
  <si>
    <t>OPERADORES DE CALDEIRA</t>
  </si>
  <si>
    <t>COZINHEIROS(AS)</t>
  </si>
  <si>
    <t>AUXILIARES DE COZINHA</t>
  </si>
  <si>
    <t>AUXILIARES DE LAVANDERIA</t>
  </si>
  <si>
    <t>LAVADORES DE VEÍCULOS</t>
  </si>
  <si>
    <t>OPERADORES DE EMPILHADEIRA</t>
  </si>
  <si>
    <t>TRATADORES DE ANIMAIS</t>
  </si>
  <si>
    <t>AUXILIARES DE MANUTENÇÃO PREDIAL</t>
  </si>
  <si>
    <t>LIMPEZA DE VIDROS (METROS QUADRADOS)</t>
  </si>
  <si>
    <t>LIMPEZA E CONSERVAÇÃO DE ÁREAS EXTERNAS (METROS QUADRADOS)</t>
  </si>
  <si>
    <t>VIGIAS FLORESTAIS</t>
  </si>
  <si>
    <t>Valor Mensal</t>
  </si>
  <si>
    <t>VALOR MENSAL</t>
  </si>
  <si>
    <t>Qtde de Postos:</t>
  </si>
  <si>
    <t>POSTO2</t>
  </si>
  <si>
    <t>Código GMS</t>
  </si>
  <si>
    <t>BLOCO 1 - POSTOS COM DOTAÇÃO ORÇAMENTÁRIA: 3390-37.01 - LIMPEZA E CONSERVAÇÃO</t>
  </si>
  <si>
    <t>BLOCO 2 - POSTOS COM DOTAÇÃO ORÇAMENTÁRIA: 3390-37.04 - COPA E PORTARIA</t>
  </si>
  <si>
    <t>BLOCO 3 - POSTOS COM DOTAÇÃO ORÇAMENTÁRIA: 3390-37.06 - SERVIÇOS DE JARDINAGEM</t>
  </si>
  <si>
    <t>BLOCO 4 - POSTOS COM DOTAÇÃO ORÇAMENTÁRIA: 3390-37.07 - MANUTENÇÃO PREDIAL</t>
  </si>
  <si>
    <t>BLOCO 5 - POSTOS COM DOTAÇÃO ORÇAMENTÁRIA: 3390-37.08 - OPERADORES DE MÁQUINAS</t>
  </si>
  <si>
    <t>BLOCO 6 - POSTOS COM DOTAÇÃO ORÇAMENTÁRIA: 3390-37.09 - TÉCNICO E OPERACIONAL</t>
  </si>
  <si>
    <t>BLOCO 7 - POSTOS COM DOTAÇÃO ORÇAMENTÁRIA: 3390-37.02 - VIGIAS FLORESTAIS</t>
  </si>
  <si>
    <t>BLOCOS POR DOTAÇÃO ORÇAMENTÁRIA</t>
  </si>
  <si>
    <t>INDICADORES 1 A 4 - GERAIS</t>
  </si>
  <si>
    <t>QTDE POSTOS</t>
  </si>
  <si>
    <t>QUANTIDADE POSTOS</t>
  </si>
  <si>
    <t>PONTUAÇÃO</t>
  </si>
  <si>
    <t>Valor do Posto</t>
  </si>
  <si>
    <t>VALOR MENSAL DO CONTRATO:</t>
  </si>
  <si>
    <t>DESCONTO POR DOTAÇAO ORÇAMENTÁRIA</t>
  </si>
  <si>
    <t>GLOSA QUALITATIVA - TOTAL</t>
  </si>
  <si>
    <t>% PONTOS GERAIS</t>
  </si>
  <si>
    <t>GQL - AVALIAÇÃO DE DESEMPENHO (GLOSA QUALITATIVA) Ref.: Item 4 do IMR</t>
  </si>
  <si>
    <t>GQT - GLOSA QUANTITATIVA (Ref.: Item 3 do IMR</t>
  </si>
  <si>
    <t>GQT - GLOSA QUANTITATIVA - Ref.: Item 3 do IMR -</t>
  </si>
  <si>
    <t>VPG = VNF - (GQL + GQT)</t>
  </si>
  <si>
    <t>GQL</t>
  </si>
  <si>
    <t>GQT</t>
  </si>
  <si>
    <t>TOTALIZAÇÃO</t>
  </si>
  <si>
    <t>SOMA TABELAS PARA CONFERÊNCIA</t>
  </si>
  <si>
    <t>GQL + GQT (POR DOT. ORÇAM)</t>
  </si>
  <si>
    <t>OCORRÊNCIAS</t>
  </si>
  <si>
    <t>MÊS DE APLICAÇÃO</t>
  </si>
  <si>
    <t>TOTAL - INDICADORES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</si>
</sst>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_ ;\-#,##0\ "/>
    <numFmt numFmtId="165" formatCode="mmmm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7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theme="9" tint="0.79998168889431442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9" tint="0.79998168889431442"/>
        <bgColor theme="9" tint="0.79995117038483843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theme="1"/>
      </top>
      <bottom/>
      <diagonal/>
    </border>
    <border>
      <left/>
      <right style="medium">
        <color auto="1"/>
      </right>
      <top style="thin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thin">
        <color theme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Protection="1"/>
    <xf numFmtId="0" fontId="0" fillId="3" borderId="1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 wrapText="1"/>
    </xf>
    <xf numFmtId="0" fontId="0" fillId="0" borderId="0" xfId="0" applyBorder="1" applyAlignment="1" applyProtection="1">
      <alignment horizontal="center" vertical="center"/>
    </xf>
    <xf numFmtId="0" fontId="0" fillId="5" borderId="4" xfId="0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0" fillId="5" borderId="13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4" fillId="5" borderId="3" xfId="0" applyFont="1" applyFill="1" applyBorder="1" applyAlignment="1" applyProtection="1">
      <alignment horizontal="center" vertical="center" wrapText="1"/>
    </xf>
    <xf numFmtId="0" fontId="4" fillId="5" borderId="6" xfId="0" applyFont="1" applyFill="1" applyBorder="1" applyAlignment="1" applyProtection="1">
      <alignment horizontal="center" vertical="center" wrapText="1"/>
    </xf>
    <xf numFmtId="0" fontId="4" fillId="5" borderId="12" xfId="0" applyFont="1" applyFill="1" applyBorder="1" applyAlignment="1" applyProtection="1">
      <alignment horizontal="center" vertical="center" wrapText="1"/>
    </xf>
    <xf numFmtId="0" fontId="0" fillId="7" borderId="17" xfId="0" applyFill="1" applyBorder="1" applyAlignment="1" applyProtection="1">
      <alignment horizontal="center" vertical="center"/>
      <protection locked="0"/>
    </xf>
    <xf numFmtId="0" fontId="0" fillId="7" borderId="18" xfId="0" applyFill="1" applyBorder="1" applyAlignment="1" applyProtection="1">
      <alignment horizontal="center" vertical="center"/>
      <protection locked="0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left" vertical="center" wrapText="1"/>
    </xf>
    <xf numFmtId="0" fontId="0" fillId="5" borderId="5" xfId="0" applyFill="1" applyBorder="1" applyAlignment="1" applyProtection="1">
      <alignment horizontal="left" vertical="center" wrapText="1"/>
    </xf>
    <xf numFmtId="0" fontId="0" fillId="5" borderId="11" xfId="0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9" fontId="3" fillId="0" borderId="0" xfId="3" applyFont="1" applyFill="1" applyBorder="1" applyAlignment="1" applyProtection="1">
      <alignment horizontal="center" vertical="center" wrapText="1"/>
    </xf>
    <xf numFmtId="0" fontId="6" fillId="9" borderId="8" xfId="0" applyFont="1" applyFill="1" applyBorder="1" applyAlignment="1" applyProtection="1">
      <alignment horizontal="center" vertical="center"/>
    </xf>
    <xf numFmtId="0" fontId="5" fillId="9" borderId="8" xfId="0" applyNumberFormat="1" applyFont="1" applyFill="1" applyBorder="1" applyAlignment="1" applyProtection="1">
      <alignment horizontal="center" vertical="center"/>
    </xf>
    <xf numFmtId="0" fontId="5" fillId="9" borderId="8" xfId="0" applyNumberFormat="1" applyFont="1" applyFill="1" applyBorder="1" applyAlignment="1" applyProtection="1">
      <alignment vertical="center" wrapText="1"/>
    </xf>
    <xf numFmtId="0" fontId="5" fillId="9" borderId="8" xfId="0" applyNumberFormat="1" applyFont="1" applyFill="1" applyBorder="1" applyAlignment="1" applyProtection="1">
      <alignment horizontal="center" vertical="center" wrapText="1"/>
    </xf>
    <xf numFmtId="44" fontId="6" fillId="9" borderId="1" xfId="0" applyNumberFormat="1" applyFont="1" applyFill="1" applyBorder="1" applyAlignment="1" applyProtection="1">
      <alignment vertical="center" wrapText="1"/>
    </xf>
    <xf numFmtId="0" fontId="2" fillId="3" borderId="19" xfId="0" applyFont="1" applyFill="1" applyBorder="1" applyAlignment="1" applyProtection="1">
      <alignment horizontal="center" vertical="center" wrapText="1"/>
    </xf>
    <xf numFmtId="0" fontId="0" fillId="3" borderId="15" xfId="0" applyFill="1" applyBorder="1" applyAlignment="1" applyProtection="1">
      <alignment horizontal="center" vertical="center" wrapText="1"/>
    </xf>
    <xf numFmtId="0" fontId="6" fillId="10" borderId="22" xfId="0" applyFont="1" applyFill="1" applyBorder="1" applyAlignment="1" applyProtection="1">
      <alignment horizontal="center" vertical="center"/>
      <protection locked="0"/>
    </xf>
    <xf numFmtId="164" fontId="5" fillId="10" borderId="6" xfId="2" applyNumberFormat="1" applyFont="1" applyFill="1" applyBorder="1" applyAlignment="1" applyProtection="1">
      <alignment horizontal="center" vertical="center"/>
      <protection locked="0"/>
    </xf>
    <xf numFmtId="44" fontId="5" fillId="10" borderId="6" xfId="1" applyNumberFormat="1" applyFont="1" applyFill="1" applyBorder="1" applyAlignment="1" applyProtection="1">
      <alignment vertical="center" wrapText="1"/>
      <protection locked="0"/>
    </xf>
    <xf numFmtId="0" fontId="5" fillId="10" borderId="6" xfId="1" applyNumberFormat="1" applyFont="1" applyFill="1" applyBorder="1" applyAlignment="1" applyProtection="1">
      <alignment horizontal="center" vertical="center" wrapText="1"/>
      <protection locked="0"/>
    </xf>
    <xf numFmtId="0" fontId="6" fillId="10" borderId="24" xfId="0" applyFont="1" applyFill="1" applyBorder="1" applyAlignment="1" applyProtection="1">
      <alignment horizontal="center" vertical="center"/>
      <protection locked="0"/>
    </xf>
    <xf numFmtId="164" fontId="5" fillId="10" borderId="25" xfId="2" applyNumberFormat="1" applyFont="1" applyFill="1" applyBorder="1" applyAlignment="1" applyProtection="1">
      <alignment horizontal="center" vertical="center"/>
      <protection locked="0"/>
    </xf>
    <xf numFmtId="44" fontId="5" fillId="10" borderId="25" xfId="1" applyNumberFormat="1" applyFont="1" applyFill="1" applyBorder="1" applyAlignment="1" applyProtection="1">
      <alignment vertical="center" wrapText="1"/>
      <protection locked="0"/>
    </xf>
    <xf numFmtId="0" fontId="5" fillId="10" borderId="25" xfId="1" applyNumberFormat="1" applyFont="1" applyFill="1" applyBorder="1" applyAlignment="1" applyProtection="1">
      <alignment horizontal="center" vertical="center" wrapText="1"/>
      <protection locked="0"/>
    </xf>
    <xf numFmtId="0" fontId="6" fillId="11" borderId="6" xfId="2" applyNumberFormat="1" applyFont="1" applyFill="1" applyBorder="1" applyAlignment="1" applyProtection="1">
      <alignment vertical="center" wrapText="1"/>
    </xf>
    <xf numFmtId="0" fontId="6" fillId="11" borderId="25" xfId="2" applyNumberFormat="1" applyFont="1" applyFill="1" applyBorder="1" applyAlignment="1" applyProtection="1">
      <alignment vertical="center" wrapText="1"/>
    </xf>
    <xf numFmtId="0" fontId="6" fillId="10" borderId="28" xfId="0" applyFont="1" applyFill="1" applyBorder="1" applyAlignment="1" applyProtection="1">
      <alignment horizontal="center" vertical="center"/>
      <protection locked="0"/>
    </xf>
    <xf numFmtId="164" fontId="5" fillId="10" borderId="29" xfId="2" applyNumberFormat="1" applyFont="1" applyFill="1" applyBorder="1" applyAlignment="1" applyProtection="1">
      <alignment horizontal="center" vertical="center"/>
      <protection locked="0"/>
    </xf>
    <xf numFmtId="44" fontId="5" fillId="10" borderId="29" xfId="1" applyNumberFormat="1" applyFont="1" applyFill="1" applyBorder="1" applyAlignment="1" applyProtection="1">
      <alignment vertical="center" wrapText="1"/>
      <protection locked="0"/>
    </xf>
    <xf numFmtId="0" fontId="5" fillId="10" borderId="29" xfId="1" applyNumberFormat="1" applyFont="1" applyFill="1" applyBorder="1" applyAlignment="1" applyProtection="1">
      <alignment horizontal="center" vertical="center" wrapText="1"/>
    </xf>
    <xf numFmtId="0" fontId="5" fillId="10" borderId="29" xfId="1" applyNumberFormat="1" applyFont="1" applyFill="1" applyBorder="1" applyAlignment="1" applyProtection="1">
      <alignment horizontal="center" vertical="center" wrapText="1"/>
      <protection locked="0"/>
    </xf>
    <xf numFmtId="0" fontId="6" fillId="11" borderId="29" xfId="2" applyNumberFormat="1" applyFont="1" applyFill="1" applyBorder="1" applyAlignment="1" applyProtection="1">
      <alignment vertical="center" wrapText="1"/>
    </xf>
    <xf numFmtId="44" fontId="6" fillId="11" borderId="30" xfId="1" applyNumberFormat="1" applyFont="1" applyFill="1" applyBorder="1" applyAlignment="1" applyProtection="1">
      <alignment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0" fillId="5" borderId="21" xfId="0" applyFill="1" applyBorder="1" applyAlignment="1" applyProtection="1">
      <alignment horizontal="center" vertical="center"/>
    </xf>
    <xf numFmtId="0" fontId="0" fillId="5" borderId="33" xfId="0" applyFill="1" applyBorder="1" applyAlignment="1" applyProtection="1">
      <alignment horizontal="left" vertical="center" wrapText="1"/>
    </xf>
    <xf numFmtId="0" fontId="4" fillId="5" borderId="25" xfId="0" applyFont="1" applyFill="1" applyBorder="1" applyAlignment="1" applyProtection="1">
      <alignment horizontal="center" vertical="center" wrapText="1"/>
    </xf>
    <xf numFmtId="0" fontId="0" fillId="7" borderId="26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 wrapText="1"/>
    </xf>
    <xf numFmtId="0" fontId="4" fillId="5" borderId="9" xfId="0" applyFont="1" applyFill="1" applyBorder="1" applyAlignment="1" applyProtection="1">
      <alignment horizontal="center" vertical="center" wrapText="1"/>
    </xf>
    <xf numFmtId="0" fontId="4" fillId="5" borderId="34" xfId="0" applyFont="1" applyFill="1" applyBorder="1" applyAlignment="1" applyProtection="1">
      <alignment horizontal="center" vertical="center" wrapText="1"/>
    </xf>
    <xf numFmtId="44" fontId="5" fillId="10" borderId="29" xfId="1" applyNumberFormat="1" applyFont="1" applyFill="1" applyBorder="1" applyAlignment="1" applyProtection="1">
      <alignment vertical="center" wrapText="1"/>
    </xf>
    <xf numFmtId="44" fontId="5" fillId="10" borderId="6" xfId="1" applyNumberFormat="1" applyFont="1" applyFill="1" applyBorder="1" applyAlignment="1" applyProtection="1">
      <alignment vertical="center" wrapText="1"/>
    </xf>
    <xf numFmtId="44" fontId="5" fillId="10" borderId="25" xfId="1" applyNumberFormat="1" applyFont="1" applyFill="1" applyBorder="1" applyAlignment="1" applyProtection="1">
      <alignment vertical="center" wrapText="1"/>
    </xf>
    <xf numFmtId="44" fontId="5" fillId="9" borderId="8" xfId="0" applyNumberFormat="1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0" fillId="3" borderId="8" xfId="0" applyFill="1" applyBorder="1" applyAlignment="1" applyProtection="1">
      <alignment horizontal="center" vertical="center" wrapText="1"/>
    </xf>
    <xf numFmtId="44" fontId="2" fillId="7" borderId="21" xfId="1" applyFont="1" applyFill="1" applyBorder="1" applyAlignment="1" applyProtection="1">
      <alignment horizontal="center" vertical="center" wrapText="1"/>
    </xf>
    <xf numFmtId="0" fontId="6" fillId="10" borderId="22" xfId="0" applyFont="1" applyFill="1" applyBorder="1" applyAlignment="1" applyProtection="1">
      <alignment horizontal="left" vertical="center"/>
      <protection locked="0"/>
    </xf>
    <xf numFmtId="0" fontId="6" fillId="10" borderId="24" xfId="0" applyFont="1" applyFill="1" applyBorder="1" applyAlignment="1" applyProtection="1">
      <alignment horizontal="left" vertical="center"/>
      <protection locked="0"/>
    </xf>
    <xf numFmtId="0" fontId="2" fillId="7" borderId="27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/>
    </xf>
    <xf numFmtId="44" fontId="3" fillId="6" borderId="15" xfId="1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vertical="center"/>
      <protection locked="0"/>
    </xf>
    <xf numFmtId="0" fontId="6" fillId="10" borderId="24" xfId="0" applyFont="1" applyFill="1" applyBorder="1" applyAlignment="1" applyProtection="1">
      <alignment vertical="center"/>
      <protection locked="0"/>
    </xf>
    <xf numFmtId="0" fontId="6" fillId="10" borderId="22" xfId="0" applyFont="1" applyFill="1" applyBorder="1" applyAlignment="1" applyProtection="1">
      <alignment vertical="center"/>
      <protection locked="0"/>
    </xf>
    <xf numFmtId="0" fontId="2" fillId="7" borderId="21" xfId="2" applyNumberFormat="1" applyFont="1" applyFill="1" applyBorder="1" applyAlignment="1" applyProtection="1">
      <alignment horizontal="center" vertical="center" wrapText="1"/>
      <protection locked="0"/>
    </xf>
    <xf numFmtId="0" fontId="2" fillId="8" borderId="1" xfId="0" applyFont="1" applyFill="1" applyBorder="1" applyAlignment="1" applyProtection="1">
      <alignment horizontal="center" vertical="center" wrapText="1"/>
    </xf>
    <xf numFmtId="0" fontId="0" fillId="7" borderId="18" xfId="0" applyFont="1" applyFill="1" applyBorder="1" applyAlignment="1" applyProtection="1">
      <alignment horizontal="center" vertical="center"/>
      <protection locked="0"/>
    </xf>
    <xf numFmtId="0" fontId="0" fillId="7" borderId="26" xfId="0" applyFont="1" applyFill="1" applyBorder="1" applyAlignment="1" applyProtection="1">
      <alignment horizontal="center" vertical="center"/>
      <protection locked="0"/>
    </xf>
    <xf numFmtId="0" fontId="8" fillId="14" borderId="31" xfId="0" applyFont="1" applyFill="1" applyBorder="1" applyAlignment="1" applyProtection="1">
      <alignment horizontal="left" vertical="center" wrapText="1"/>
    </xf>
    <xf numFmtId="0" fontId="0" fillId="14" borderId="14" xfId="0" applyNumberFormat="1" applyFont="1" applyFill="1" applyBorder="1" applyAlignment="1" applyProtection="1">
      <alignment horizontal="center" vertical="center"/>
    </xf>
    <xf numFmtId="0" fontId="14" fillId="4" borderId="1" xfId="0" applyFont="1" applyFill="1" applyBorder="1" applyAlignment="1" applyProtection="1">
      <alignment horizontal="center" vertical="center" wrapText="1"/>
    </xf>
    <xf numFmtId="0" fontId="8" fillId="0" borderId="37" xfId="0" applyFont="1" applyBorder="1" applyAlignment="1" applyProtection="1">
      <alignment horizontal="left" vertical="center" wrapText="1"/>
    </xf>
    <xf numFmtId="0" fontId="0" fillId="0" borderId="42" xfId="0" applyNumberFormat="1" applyFont="1" applyBorder="1" applyAlignment="1" applyProtection="1">
      <alignment horizontal="center" vertical="center"/>
    </xf>
    <xf numFmtId="43" fontId="12" fillId="0" borderId="40" xfId="2" applyNumberFormat="1" applyFont="1" applyBorder="1" applyAlignment="1" applyProtection="1">
      <alignment horizontal="center" vertical="center" wrapText="1"/>
    </xf>
    <xf numFmtId="10" fontId="13" fillId="0" borderId="42" xfId="3" applyNumberFormat="1" applyFont="1" applyBorder="1" applyAlignment="1" applyProtection="1">
      <alignment horizontal="center" vertical="center"/>
    </xf>
    <xf numFmtId="44" fontId="13" fillId="0" borderId="42" xfId="1" applyFont="1" applyBorder="1" applyAlignment="1" applyProtection="1">
      <alignment horizontal="center" vertical="center"/>
    </xf>
    <xf numFmtId="44" fontId="13" fillId="0" borderId="39" xfId="1" applyFont="1" applyBorder="1" applyAlignment="1" applyProtection="1">
      <alignment horizontal="center" vertical="center"/>
    </xf>
    <xf numFmtId="0" fontId="8" fillId="14" borderId="37" xfId="0" applyFont="1" applyFill="1" applyBorder="1" applyAlignment="1" applyProtection="1">
      <alignment horizontal="left" vertical="center" wrapText="1"/>
    </xf>
    <xf numFmtId="0" fontId="0" fillId="14" borderId="42" xfId="0" applyNumberFormat="1" applyFont="1" applyFill="1" applyBorder="1" applyAlignment="1" applyProtection="1">
      <alignment horizontal="center" vertical="center"/>
    </xf>
    <xf numFmtId="43" fontId="12" fillId="14" borderId="40" xfId="2" applyNumberFormat="1" applyFont="1" applyFill="1" applyBorder="1" applyAlignment="1" applyProtection="1">
      <alignment horizontal="center" vertical="center" wrapText="1"/>
    </xf>
    <xf numFmtId="44" fontId="13" fillId="14" borderId="42" xfId="1" applyFont="1" applyFill="1" applyBorder="1" applyAlignment="1" applyProtection="1">
      <alignment horizontal="center" vertical="center"/>
    </xf>
    <xf numFmtId="0" fontId="7" fillId="12" borderId="38" xfId="0" applyFont="1" applyFill="1" applyBorder="1" applyAlignment="1" applyProtection="1">
      <alignment horizontal="right" vertical="center" wrapText="1"/>
    </xf>
    <xf numFmtId="0" fontId="11" fillId="12" borderId="43" xfId="0" applyFont="1" applyFill="1" applyBorder="1" applyAlignment="1" applyProtection="1">
      <alignment horizontal="center" vertical="center"/>
    </xf>
    <xf numFmtId="43" fontId="0" fillId="14" borderId="41" xfId="2" applyNumberFormat="1" applyFont="1" applyFill="1" applyBorder="1" applyProtection="1"/>
    <xf numFmtId="9" fontId="2" fillId="12" borderId="43" xfId="3" applyFont="1" applyFill="1" applyBorder="1" applyAlignment="1" applyProtection="1">
      <alignment horizontal="center" vertical="center"/>
    </xf>
    <xf numFmtId="44" fontId="2" fillId="12" borderId="43" xfId="1" applyFont="1" applyFill="1" applyBorder="1" applyAlignment="1" applyProtection="1">
      <alignment horizontal="center" vertical="center"/>
    </xf>
    <xf numFmtId="0" fontId="11" fillId="3" borderId="19" xfId="0" applyFont="1" applyFill="1" applyBorder="1" applyAlignment="1" applyProtection="1">
      <alignment horizontal="center" vertical="center" wrapText="1"/>
    </xf>
    <xf numFmtId="0" fontId="11" fillId="3" borderId="35" xfId="0" applyFont="1" applyFill="1" applyBorder="1" applyAlignment="1" applyProtection="1">
      <alignment horizontal="center" vertical="center" wrapText="1"/>
    </xf>
    <xf numFmtId="0" fontId="11" fillId="3" borderId="14" xfId="0" applyFont="1" applyFill="1" applyBorder="1" applyAlignment="1" applyProtection="1">
      <alignment horizontal="center" vertical="center" wrapText="1"/>
    </xf>
    <xf numFmtId="0" fontId="0" fillId="5" borderId="35" xfId="0" applyFont="1" applyFill="1" applyBorder="1" applyAlignment="1" applyProtection="1">
      <alignment horizontal="left" vertical="center" wrapText="1"/>
    </xf>
    <xf numFmtId="0" fontId="4" fillId="5" borderId="44" xfId="0" applyFont="1" applyFill="1" applyBorder="1" applyAlignment="1" applyProtection="1">
      <alignment horizontal="center" vertical="center" wrapText="1"/>
    </xf>
    <xf numFmtId="0" fontId="0" fillId="5" borderId="37" xfId="0" applyFont="1" applyFill="1" applyBorder="1" applyAlignment="1" applyProtection="1">
      <alignment horizontal="left" vertical="center" wrapText="1"/>
    </xf>
    <xf numFmtId="0" fontId="4" fillId="5" borderId="26" xfId="0" applyFont="1" applyFill="1" applyBorder="1" applyAlignment="1" applyProtection="1">
      <alignment horizontal="center" vertical="center" wrapText="1"/>
    </xf>
    <xf numFmtId="0" fontId="0" fillId="5" borderId="38" xfId="0" applyFont="1" applyFill="1" applyBorder="1" applyAlignment="1" applyProtection="1">
      <alignment horizontal="left" vertical="center" wrapText="1"/>
    </xf>
    <xf numFmtId="0" fontId="4" fillId="5" borderId="18" xfId="0" applyFont="1" applyFill="1" applyBorder="1" applyAlignment="1" applyProtection="1">
      <alignment horizontal="center" vertical="center" wrapText="1"/>
    </xf>
    <xf numFmtId="0" fontId="0" fillId="7" borderId="44" xfId="0" applyFont="1" applyFill="1" applyBorder="1" applyAlignment="1" applyProtection="1">
      <alignment horizontal="center" vertical="center"/>
      <protection locked="0"/>
    </xf>
    <xf numFmtId="0" fontId="6" fillId="4" borderId="8" xfId="0" applyFont="1" applyFill="1" applyBorder="1" applyAlignment="1" applyProtection="1">
      <alignment vertical="center" wrapText="1"/>
    </xf>
    <xf numFmtId="9" fontId="3" fillId="6" borderId="8" xfId="3" applyFont="1" applyFill="1" applyBorder="1" applyAlignment="1" applyProtection="1">
      <alignment horizontal="center" vertical="center" wrapText="1"/>
    </xf>
    <xf numFmtId="9" fontId="3" fillId="6" borderId="8" xfId="3" applyFont="1" applyFill="1" applyBorder="1" applyAlignment="1" applyProtection="1">
      <alignment vertical="center" wrapText="1"/>
    </xf>
    <xf numFmtId="0" fontId="2" fillId="2" borderId="8" xfId="0" applyFont="1" applyFill="1" applyBorder="1" applyAlignment="1" applyProtection="1">
      <alignment vertical="center" wrapText="1"/>
    </xf>
    <xf numFmtId="0" fontId="2" fillId="2" borderId="9" xfId="0" applyFont="1" applyFill="1" applyBorder="1" applyAlignment="1" applyProtection="1">
      <alignment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  <protection locked="0"/>
    </xf>
    <xf numFmtId="0" fontId="6" fillId="4" borderId="15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44" fontId="2" fillId="0" borderId="21" xfId="1" applyFont="1" applyFill="1" applyBorder="1" applyAlignment="1" applyProtection="1">
      <alignment horizontal="center" vertical="center" wrapText="1"/>
      <protection locked="0"/>
    </xf>
    <xf numFmtId="165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8" borderId="19" xfId="0" applyFont="1" applyFill="1" applyBorder="1" applyAlignment="1" applyProtection="1">
      <alignment horizontal="center" vertical="center" wrapText="1"/>
    </xf>
    <xf numFmtId="17" fontId="2" fillId="7" borderId="20" xfId="0" applyNumberFormat="1" applyFont="1" applyFill="1" applyBorder="1" applyAlignment="1" applyProtection="1">
      <alignment horizontal="center" vertical="center" wrapText="1"/>
      <protection locked="0"/>
    </xf>
    <xf numFmtId="43" fontId="2" fillId="7" borderId="21" xfId="0" applyNumberFormat="1" applyFont="1" applyFill="1" applyBorder="1" applyAlignment="1" applyProtection="1">
      <alignment horizontal="center" vertical="center" wrapText="1"/>
    </xf>
    <xf numFmtId="0" fontId="6" fillId="10" borderId="28" xfId="0" applyFont="1" applyFill="1" applyBorder="1" applyAlignment="1" applyProtection="1">
      <alignment horizontal="left" vertical="center"/>
      <protection locked="0"/>
    </xf>
    <xf numFmtId="0" fontId="2" fillId="3" borderId="14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9" xfId="0" applyFont="1" applyFill="1" applyBorder="1" applyAlignment="1" applyProtection="1">
      <alignment horizontal="center"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0" fontId="9" fillId="13" borderId="8" xfId="0" applyFont="1" applyFill="1" applyBorder="1" applyAlignment="1" applyProtection="1">
      <alignment horizontal="center" vertical="center" wrapText="1"/>
    </xf>
    <xf numFmtId="0" fontId="9" fillId="13" borderId="9" xfId="0" applyFont="1" applyFill="1" applyBorder="1" applyAlignment="1" applyProtection="1">
      <alignment horizontal="center" vertical="center" wrapText="1"/>
    </xf>
    <xf numFmtId="0" fontId="9" fillId="13" borderId="10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6" fillId="4" borderId="14" xfId="0" applyFont="1" applyFill="1" applyBorder="1" applyAlignment="1" applyProtection="1">
      <alignment horizontal="center" vertical="center" wrapText="1"/>
    </xf>
    <xf numFmtId="0" fontId="6" fillId="4" borderId="15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right" vertical="center" wrapText="1"/>
    </xf>
    <xf numFmtId="0" fontId="3" fillId="8" borderId="9" xfId="0" applyFont="1" applyFill="1" applyBorder="1" applyAlignment="1" applyProtection="1">
      <alignment horizontal="right" vertical="center" wrapText="1"/>
    </xf>
    <xf numFmtId="0" fontId="3" fillId="8" borderId="10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0" fontId="6" fillId="4" borderId="10" xfId="0" applyFont="1" applyFill="1" applyBorder="1" applyAlignment="1" applyProtection="1">
      <alignment horizontal="center" vertical="center" wrapText="1"/>
    </xf>
    <xf numFmtId="0" fontId="0" fillId="3" borderId="35" xfId="0" applyFill="1" applyBorder="1" applyAlignment="1" applyProtection="1">
      <alignment horizontal="center" vertical="center" wrapText="1"/>
    </xf>
    <xf numFmtId="0" fontId="0" fillId="3" borderId="36" xfId="0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 wrapText="1"/>
    </xf>
    <xf numFmtId="0" fontId="0" fillId="3" borderId="32" xfId="0" applyFill="1" applyBorder="1" applyAlignment="1" applyProtection="1">
      <alignment horizontal="center" vertical="center" wrapText="1"/>
    </xf>
    <xf numFmtId="0" fontId="10" fillId="13" borderId="8" xfId="0" applyFont="1" applyFill="1" applyBorder="1" applyAlignment="1" applyProtection="1">
      <alignment horizontal="center" vertical="center"/>
    </xf>
    <xf numFmtId="0" fontId="10" fillId="13" borderId="9" xfId="0" applyFont="1" applyFill="1" applyBorder="1" applyAlignment="1" applyProtection="1">
      <alignment horizontal="center" vertical="center"/>
    </xf>
    <xf numFmtId="0" fontId="10" fillId="13" borderId="10" xfId="0" applyFont="1" applyFill="1" applyBorder="1" applyAlignment="1" applyProtection="1">
      <alignment horizontal="center" vertical="center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8" borderId="9" xfId="0" applyFont="1" applyFill="1" applyBorder="1" applyAlignment="1" applyProtection="1">
      <alignment horizontal="center" vertical="center" wrapText="1"/>
    </xf>
    <xf numFmtId="0" fontId="2" fillId="8" borderId="10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32" xfId="0" applyFont="1" applyFill="1" applyBorder="1" applyAlignment="1" applyProtection="1">
      <alignment horizontal="center" vertical="center" wrapText="1"/>
    </xf>
    <xf numFmtId="0" fontId="3" fillId="6" borderId="8" xfId="2" applyNumberFormat="1" applyFont="1" applyFill="1" applyBorder="1" applyAlignment="1" applyProtection="1">
      <alignment horizontal="center" vertical="center" wrapText="1"/>
    </xf>
    <xf numFmtId="0" fontId="3" fillId="6" borderId="10" xfId="2" applyNumberFormat="1" applyFont="1" applyFill="1" applyBorder="1" applyAlignment="1" applyProtection="1">
      <alignment horizontal="center" vertical="center" wrapText="1"/>
    </xf>
    <xf numFmtId="0" fontId="6" fillId="4" borderId="45" xfId="0" applyFont="1" applyFill="1" applyBorder="1" applyAlignment="1" applyProtection="1">
      <alignment horizontal="center" vertical="center" wrapText="1"/>
    </xf>
  </cellXfs>
  <cellStyles count="4">
    <cellStyle name="Moeda" xfId="1" builtinId="4"/>
    <cellStyle name="Normal" xfId="0" builtinId="0"/>
    <cellStyle name="Porcentagem" xfId="3" builtinId="5"/>
    <cellStyle name="Vírgula" xfId="2" builtinId="3"/>
  </cellStyles>
  <dxfs count="504"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rgb="FF000000"/>
        </left>
        <right style="medium">
          <color auto="1"/>
        </right>
        <top style="medium">
          <color rgb="FF000000"/>
        </top>
        <bottom style="medium">
          <color rgb="FF000000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protection locked="1" hidden="0"/>
    </dxf>
    <dxf>
      <border>
        <top style="medium">
          <color rgb="FF000000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rgb="FF000000"/>
        </top>
        <bottom style="thin">
          <color auto="1"/>
        </bottom>
      </border>
    </dxf>
    <dxf>
      <protection locked="1" hidden="0"/>
    </dxf>
    <dxf>
      <border outline="0">
        <bottom style="medium">
          <color rgb="FF000000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9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 style="thin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34" formatCode="_-&quot;R$&quot;\ * #,##0.00_-;\-&quot;R$&quot;\ * #,##0.00_-;_-&quot;R$&quot;\ * &quot;-&quot;??_-;_-@_-"/>
      <fill>
        <patternFill patternType="solid">
          <fgColor theme="9" tint="0.79995117038483843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0" formatCode="General"/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numFmt numFmtId="164" formatCode="#,##0_ ;\-#,##0\ "/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>
        <top style="medium">
          <color indexed="64"/>
        </top>
      </border>
    </dxf>
    <dxf>
      <font>
        <strike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8168889431442"/>
          <bgColor theme="2"/>
        </patternFill>
      </fill>
      <protection locked="1" hidden="0"/>
    </dxf>
    <dxf>
      <border outline="0">
        <left style="medium">
          <color indexed="64"/>
        </left>
        <right style="medium">
          <color auto="1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theme="9" tint="0.79995117038483843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auto="1"/>
        </left>
        <right style="medium">
          <color auto="1"/>
        </right>
        <top style="medium">
          <color indexed="64"/>
        </top>
        <bottom style="thin">
          <color auto="1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 hidden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indexed="64"/>
        </top>
        <bottom style="medium">
          <color indexed="64"/>
        </bottom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</border>
      <protection locked="1" hidden="0"/>
    </dxf>
    <dxf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medium">
          <color indexed="64"/>
        </top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1" hidden="0"/>
    </dxf>
    <dxf>
      <border outline="0">
        <left style="medium">
          <color indexed="64"/>
        </left>
        <right style="medium">
          <color auto="1"/>
        </right>
        <top style="medium">
          <color indexed="64"/>
        </top>
        <bottom style="medium">
          <color indexed="64"/>
        </bottom>
      </border>
    </dxf>
    <dxf>
      <protection locked="1" hidden="0"/>
    </dxf>
    <dxf>
      <border outline="0">
        <bottom style="medium">
          <color indexed="64"/>
        </bottom>
      </border>
    </dxf>
    <dxf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238124</xdr:colOff>
      <xdr:row>1</xdr:row>
      <xdr:rowOff>514351</xdr:rowOff>
    </xdr:from>
    <xdr:to>
      <xdr:col>14</xdr:col>
      <xdr:colOff>409575</xdr:colOff>
      <xdr:row>2</xdr:row>
      <xdr:rowOff>800100</xdr:rowOff>
    </xdr:to>
    <xdr:sp macro="" textlink="">
      <xdr:nvSpPr>
        <xdr:cNvPr id="3" name="Balão de Fala: Oval 2">
          <a:extLst>
            <a:ext uri="{FF2B5EF4-FFF2-40B4-BE49-F238E27FC236}">
              <a16:creationId xmlns:a16="http://schemas.microsoft.com/office/drawing/2014/main" id="{6C106971-118C-4005-A7B9-41CE10867E57}"/>
            </a:ext>
          </a:extLst>
        </xdr:cNvPr>
        <xdr:cNvSpPr/>
      </xdr:nvSpPr>
      <xdr:spPr>
        <a:xfrm>
          <a:off x="14001749" y="990601"/>
          <a:ext cx="3219451" cy="828674"/>
        </a:xfrm>
        <a:prstGeom prst="wedgeEllipseCallout">
          <a:avLst>
            <a:gd name="adj1" fmla="val -76729"/>
            <a:gd name="adj2" fmla="val 99255"/>
          </a:avLst>
        </a:prstGeom>
        <a:solidFill>
          <a:schemeClr val="accent5"/>
        </a:solidFill>
        <a:effectLst>
          <a:glow>
            <a:schemeClr val="accent1"/>
          </a:glow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/>
          <a:r>
            <a:rPr lang="pt-BR" sz="1200" b="1"/>
            <a:t>VALOR DA SOMA DAS</a:t>
          </a:r>
          <a:r>
            <a:rPr lang="pt-BR" sz="1200" b="1" baseline="0"/>
            <a:t> TABELAS DOS BLOCOS 1 A 7 </a:t>
          </a:r>
        </a:p>
      </xdr:txBody>
    </xdr:sp>
    <xdr:clientData/>
  </xdr:twoCellAnchor>
  <xdr:twoCellAnchor>
    <xdr:from>
      <xdr:col>4</xdr:col>
      <xdr:colOff>1181100</xdr:colOff>
      <xdr:row>5</xdr:row>
      <xdr:rowOff>133350</xdr:rowOff>
    </xdr:from>
    <xdr:to>
      <xdr:col>6</xdr:col>
      <xdr:colOff>314325</xdr:colOff>
      <xdr:row>10</xdr:row>
      <xdr:rowOff>28575</xdr:rowOff>
    </xdr:to>
    <xdr:sp macro="" textlink="">
      <xdr:nvSpPr>
        <xdr:cNvPr id="4" name="Balão de Fala: Oval 3">
          <a:extLst>
            <a:ext uri="{FF2B5EF4-FFF2-40B4-BE49-F238E27FC236}">
              <a16:creationId xmlns:a16="http://schemas.microsoft.com/office/drawing/2014/main" id="{3C3FB72E-35CA-4344-98C4-5F223A347501}"/>
            </a:ext>
          </a:extLst>
        </xdr:cNvPr>
        <xdr:cNvSpPr/>
      </xdr:nvSpPr>
      <xdr:spPr>
        <a:xfrm>
          <a:off x="8648700" y="3095625"/>
          <a:ext cx="1609725" cy="847725"/>
        </a:xfrm>
        <a:prstGeom prst="wedgeEllipseCallout">
          <a:avLst>
            <a:gd name="adj1" fmla="val -1581"/>
            <a:gd name="adj2" fmla="val -108990"/>
          </a:avLst>
        </a:prstGeom>
        <a:solidFill>
          <a:schemeClr val="accent5"/>
        </a:solidFill>
        <a:effectLst>
          <a:glow>
            <a:schemeClr val="accent1"/>
          </a:glow>
        </a:effectLst>
        <a:scene3d>
          <a:camera prst="orthographicFront">
            <a:rot lat="0" lon="0" rev="0"/>
          </a:camera>
          <a:lightRig rig="threePt" dir="t"/>
        </a:scene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1"/>
        <a:lstStyle/>
        <a:p>
          <a:pPr algn="ctr"/>
          <a:r>
            <a:rPr lang="pt-BR" sz="1200" b="1" baseline="0"/>
            <a:t>PREENCHIMENTO AUTOMÁTICO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3B4431-FFBE-4945-A4E1-2726749C494D}" name="ENCARREGADOS" displayName="ENCARREGADOS" ref="B7:E14" totalsRowCount="1" headerRowDxfId="503" dataDxfId="501" totalsRowDxfId="499" headerRowBorderDxfId="502" tableBorderDxfId="500" totalsRowBorderDxfId="498">
  <autoFilter ref="B7:E13" xr:uid="{6FEF2E22-BD09-42D0-A1AE-CAAF26244DE1}">
    <filterColumn colId="0" hiddenButton="1"/>
    <filterColumn colId="1" hiddenButton="1"/>
    <filterColumn colId="2" hiddenButton="1"/>
    <filterColumn colId="3" hiddenButton="1"/>
  </autoFilter>
  <tableColumns count="4">
    <tableColumn id="1" xr3:uid="{9E33FA52-11A7-4180-A0EC-D8CC6F6F5FDE}" name="Descrição (ocorrência)" dataDxfId="497" totalsRowDxfId="496"/>
    <tableColumn id="2" xr3:uid="{C467BAAC-FD5A-4BF5-A397-7A9E5D33FE6C}" name="Gradação" dataDxfId="495" totalsRowDxfId="494"/>
    <tableColumn id="6" xr3:uid="{75A8BFDE-6A7A-4852-9ADD-BBAA094321C8}" name="OCORRÊNCIAS" totalsRowLabel="TOTAL" dataDxfId="493" totalsRowDxfId="492"/>
    <tableColumn id="4" xr3:uid="{54C88C1C-FFFE-49D2-A5BF-B1FDA0243419}" name="PONTOS" totalsRowFunction="sum" dataDxfId="491" totalsRowDxfId="490">
      <calculatedColumnFormula>C8*D8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BFD2D32F-2CFF-4D3C-B5B0-3C1EF3E41B55}" name="RECEPCIONISTAS3470" displayName="RECEPCIONISTAS3470" ref="B17:E24" totalsRowCount="1" headerRowDxfId="361" dataDxfId="359" totalsRowDxfId="357" headerRowBorderDxfId="360" tableBorderDxfId="358" totalsRowBorderDxfId="356">
  <autoFilter ref="B17:E23" xr:uid="{6607A066-4532-4C93-B559-5580F4FFEB5A}">
    <filterColumn colId="0" hiddenButton="1"/>
    <filterColumn colId="1" hiddenButton="1"/>
    <filterColumn colId="2" hiddenButton="1"/>
    <filterColumn colId="3" hiddenButton="1"/>
  </autoFilter>
  <tableColumns count="4">
    <tableColumn id="1" xr3:uid="{64D6AA92-B553-42AA-95AE-BBCCA1129C65}" name="Descrição (ocorrência)" dataDxfId="355" totalsRowDxfId="354"/>
    <tableColumn id="2" xr3:uid="{C1933254-7B48-4CFF-B29B-2A5C802775E6}" name="Gradação" dataDxfId="353" totalsRowDxfId="352"/>
    <tableColumn id="5" xr3:uid="{4F79C28F-4D3B-4A19-AB3A-7156179DE166}" name="OCORRÊNCIAS" totalsRowLabel="TOTAL" dataDxfId="351" totalsRowDxfId="350"/>
    <tableColumn id="4" xr3:uid="{D00F4FEA-9229-41F9-AFE0-3F20ED726EA8}" name="PONTOS" totalsRowFunction="sum" dataDxfId="349" totalsRowDxfId="348">
      <calculatedColumnFormula>C18*D18</calculatedColumnFormula>
    </tableColumn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2A9A53F1-F817-429E-ADEA-EDCE0EE85EF6}" name="COPEIROS3773" displayName="COPEIROS3773" ref="B27:E33" totalsRowCount="1" headerRowDxfId="347" dataDxfId="345" totalsRowDxfId="343" headerRowBorderDxfId="346" tableBorderDxfId="344" totalsRowBorderDxfId="342">
  <autoFilter ref="B27:E32" xr:uid="{C594DE71-A568-4FCB-AF99-1C9EE12DD5C4}">
    <filterColumn colId="0" hiddenButton="1"/>
    <filterColumn colId="1" hiddenButton="1"/>
    <filterColumn colId="2" hiddenButton="1"/>
    <filterColumn colId="3" hiddenButton="1"/>
  </autoFilter>
  <tableColumns count="4">
    <tableColumn id="1" xr3:uid="{033B2437-BA35-49B5-BB90-F8257E170602}" name="Descrição (ocorrência)" dataDxfId="341" totalsRowDxfId="340"/>
    <tableColumn id="2" xr3:uid="{747094E6-17B9-4E2D-86D7-C45A94E56D51}" name="Gradação" dataDxfId="339" totalsRowDxfId="338"/>
    <tableColumn id="5" xr3:uid="{6B8AE412-9A37-484B-8362-1B2A6AB9E685}" name="OCORRÊNCIAS" totalsRowLabel="TOTAL" dataDxfId="337" totalsRowDxfId="336"/>
    <tableColumn id="4" xr3:uid="{B741105F-499E-40BF-8C7E-1AAC6E878262}" name="PONTOS" totalsRowFunction="sum" dataDxfId="335" totalsRowDxfId="334">
      <calculatedColumnFormula>C28*D28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4149A203-8CCC-4968-8562-513C356F4471}" name="CONTROLADOR_ACESSO3874" displayName="CONTROLADOR_ACESSO3874" ref="B36:E42" totalsRowCount="1" headerRowDxfId="333" dataDxfId="331" totalsRowDxfId="329" headerRowBorderDxfId="332" tableBorderDxfId="330" totalsRowBorderDxfId="328">
  <autoFilter ref="B36:E41" xr:uid="{67DC1308-38C9-4B78-B15F-F8E367F2DE7F}">
    <filterColumn colId="0" hiddenButton="1"/>
    <filterColumn colId="1" hiddenButton="1"/>
    <filterColumn colId="2" hiddenButton="1"/>
    <filterColumn colId="3" hiddenButton="1"/>
  </autoFilter>
  <tableColumns count="4">
    <tableColumn id="1" xr3:uid="{573C2B5B-CA3B-44CA-8EF8-7F5EC6AB8577}" name="Descrição (ocorrência)" dataDxfId="327" totalsRowDxfId="326"/>
    <tableColumn id="2" xr3:uid="{2558C614-0B25-4386-A248-281B3E658C4F}" name="Gradação" dataDxfId="325" totalsRowDxfId="324"/>
    <tableColumn id="5" xr3:uid="{42F8674D-4465-42D5-9E9D-602CD45CB3BE}" name="QTDE FUNCIONÁRIOS" totalsRowLabel="TOTAL" dataDxfId="323" totalsRowDxfId="322"/>
    <tableColumn id="4" xr3:uid="{2BFD670A-A470-40B4-AA46-57D4A037A2AC}" name="PONTOS" totalsRowFunction="sum" dataDxfId="321" totalsRowDxfId="320">
      <calculatedColumnFormula>C37*D37</calculatedColumnFormula>
    </tableColumn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8D76C28-B139-45A5-9019-1077BED449DF}" name="Dotação_37.04" displayName="Dotação_37.04" ref="B50:M72" totalsRowCount="1" headerRowDxfId="319" dataDxfId="317" totalsRowDxfId="315" headerRowBorderDxfId="318" tableBorderDxfId="316" totalsRowBorderDxfId="314" dataCellStyle="Moeda">
  <autoFilter ref="B50:M71" xr:uid="{93AA2DB9-3E5A-4342-BECB-BAE9A3D4672D}"/>
  <tableColumns count="12">
    <tableColumn id="1" xr3:uid="{7DA666C2-74E9-45C6-97FB-7FF8488060A1}" name="POSTO" totalsRowLabel="Total" dataDxfId="313" totalsRowDxfId="312"/>
    <tableColumn id="12" xr3:uid="{69646938-2405-4DA2-BBBF-AD057D5A6DD9}" name="POSTO2" dataDxfId="311" totalsRowDxfId="310"/>
    <tableColumn id="10" xr3:uid="{AC4D4CB6-0815-4839-BE21-EDB33A908986}" name="Quantidade" totalsRowFunction="sum" dataDxfId="309" totalsRowDxfId="308"/>
    <tableColumn id="2" xr3:uid="{57BA0E2B-5EB2-4284-BB26-3179810AC7DB}" name="CARGA HORÁRIA SEMANAL" dataDxfId="307" totalsRowDxfId="306" dataCellStyle="Vírgula"/>
    <tableColumn id="3" xr3:uid="{EA540239-3C4F-436B-83D8-5857AA930E73}" name="VALOR DO POSTO" dataDxfId="305" totalsRowDxfId="304" dataCellStyle="Moeda"/>
    <tableColumn id="11" xr3:uid="{39452C95-62A8-47A7-B9BC-61D7812EDC57}" name="VALOR MENSAL" totalsRowFunction="sum" dataDxfId="303" totalsRowDxfId="302" dataCellStyle="Moeda">
      <calculatedColumnFormula>Dotação_37.04[[#This Row],[VALOR DO POSTO]]*Dotação_37.04[[#This Row],[Quantidade]]</calculatedColumnFormula>
    </tableColumn>
    <tableColumn id="4" xr3:uid="{AC43AEEA-4983-4446-B761-B86D6159F390}" name="Coluna1" dataDxfId="301" totalsRowDxfId="300" dataCellStyle="Moeda">
      <calculatedColumnFormula>IF(E51=20,4,IF(OR(E51=30,E51=36),6,IF(OR(E51=40,E51=44,E51=48),8,IF(OR(E51="12x36",E51="12-SDF"),12,1))))</calculatedColumnFormula>
    </tableColumn>
    <tableColumn id="5" xr3:uid="{99224E17-439A-439C-AA9B-2277B5232F96}" name="DIAS" dataDxfId="299" totalsRowDxfId="298" dataCellStyle="Moeda"/>
    <tableColumn id="6" xr3:uid="{2D59AD75-BF20-43DC-97DC-C3AEBE800C33}" name="HORAS" dataDxfId="297" totalsRowDxfId="296" dataCellStyle="Moeda"/>
    <tableColumn id="7" xr3:uid="{44F43839-1E25-45A8-8004-8425C39D5DFD}" name="MINUTOS" dataDxfId="295" totalsRowDxfId="294" dataCellStyle="Moeda"/>
    <tableColumn id="8" xr3:uid="{91ADF09E-410C-49D2-A99E-202CAC34B1BE}" name="PERÍODO SEM COBERTURA EM MINUTOS" dataDxfId="293" totalsRowDxfId="292" dataCellStyle="Vírgula">
      <calculatedColumnFormula>((Dotação_37.04[[#This Row],[DIAS]]*H51)*60)+(Dotação_37.04[[#This Row],[HORAS]]*60)+Dotação_37.04[[#This Row],[MINUTOS]]</calculatedColumnFormula>
    </tableColumn>
    <tableColumn id="9" xr3:uid="{8963EA3C-FAEF-4102-8D8B-2194195A67C7}" name="GLOSA" totalsRowFunction="sum" dataDxfId="291" totalsRowDxfId="290" dataCellStyle="Moeda">
      <calculatedColumnFormula>IF(E51=20,F51/6000*L51,IF(E51=30,F51/9000*L51,IF(E51=36,F51/10800*L51,IF(E51=40,F51/12000*L51,IF(E51=44,F51/13200*L51,IF(E51=48,F51/14400*L51,IF(E51="12x36",F51/21600*L51,IF(E51="12-SDF",F51/5760*L51,0))))))))</calculatedColumnFormula>
    </tableColumn>
  </tableColumns>
  <tableStyleInfo name="TableStyleLight7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95C229FE-6A06-4923-8FD6-C5EFCD398B1A}" name="JARDINEIROS3592" displayName="JARDINEIROS3592" ref="B7:E13" totalsRowCount="1" headerRowDxfId="289" dataDxfId="287" totalsRowDxfId="285" headerRowBorderDxfId="288" tableBorderDxfId="286" totalsRowBorderDxfId="284">
  <autoFilter ref="B7:E12" xr:uid="{C94E2753-06AB-4D8E-8F4A-B3A30B83B54A}">
    <filterColumn colId="0" hiddenButton="1"/>
    <filterColumn colId="1" hiddenButton="1"/>
    <filterColumn colId="2" hiddenButton="1"/>
    <filterColumn colId="3" hiddenButton="1"/>
  </autoFilter>
  <tableColumns count="4">
    <tableColumn id="1" xr3:uid="{7EB19446-0955-47F9-B035-B16B3CD5243C}" name="Descrição (ocorrência)" dataDxfId="283" totalsRowDxfId="282"/>
    <tableColumn id="2" xr3:uid="{BE8611F1-A849-4705-B486-2F8057786D98}" name="Gradação" dataDxfId="281" totalsRowDxfId="280"/>
    <tableColumn id="5" xr3:uid="{AE08A3CD-160D-4A73-B8EA-5DEC720228F9}" name="OCORRÊNCIAS" totalsRowLabel="TOTAL" dataDxfId="279" totalsRowDxfId="278"/>
    <tableColumn id="4" xr3:uid="{4054E6CD-4ECB-42F3-8618-6BD522F4C597}" name="PONTOS" totalsRowFunction="sum" dataDxfId="277" totalsRowDxfId="276">
      <calculatedColumnFormula>C8*D8</calculatedColumnFormula>
    </tableColumn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5C1D353-1C55-484D-A710-FD1AAD88E309}" name="Dotação_37.06" displayName="Dotação_37.06" ref="B21:M31" totalsRowCount="1" headerRowDxfId="275" dataDxfId="273" totalsRowDxfId="271" headerRowBorderDxfId="274" tableBorderDxfId="272" totalsRowBorderDxfId="270" dataCellStyle="Moeda">
  <autoFilter ref="B21:M30" xr:uid="{2ECC88E8-14EA-4D3B-9E74-EE87680C9CEE}"/>
  <tableColumns count="12">
    <tableColumn id="1" xr3:uid="{DF4DBB67-F05D-4FF5-80C3-C3C6933BD4AC}" name="POSTO" totalsRowLabel="Total" dataDxfId="269" totalsRowDxfId="268"/>
    <tableColumn id="12" xr3:uid="{DC0630DF-141A-4AFA-947C-976C52C04A2B}" name="POSTO2" dataDxfId="267" totalsRowDxfId="266"/>
    <tableColumn id="10" xr3:uid="{B127BEF3-4A33-41EA-B1ED-B6031E964C89}" name="Quantidade" totalsRowFunction="sum" dataDxfId="265" totalsRowDxfId="264"/>
    <tableColumn id="2" xr3:uid="{E724CA94-F3C3-406B-BD6C-F35D03C53D2B}" name="CARGA HORÁRIA SEMANAL" dataDxfId="263" totalsRowDxfId="262" dataCellStyle="Vírgula"/>
    <tableColumn id="3" xr3:uid="{1EB849FF-F059-4A83-BEBE-B78DE45130A2}" name="VALOR DO POSTO" dataDxfId="261" totalsRowDxfId="260" dataCellStyle="Moeda"/>
    <tableColumn id="11" xr3:uid="{2519660E-E5BC-4871-90F7-2D3E08ADE016}" name="VALOR MENSAL" totalsRowFunction="sum" dataDxfId="259" totalsRowDxfId="258" dataCellStyle="Moeda">
      <calculatedColumnFormula>Dotação_37.06[[#This Row],[VALOR DO POSTO]]*Dotação_37.06[[#This Row],[Quantidade]]</calculatedColumnFormula>
    </tableColumn>
    <tableColumn id="4" xr3:uid="{1FB6A6D4-BBF6-4136-8B1F-61CB3B036A9A}" name="Coluna1" dataDxfId="257" totalsRowDxfId="256" dataCellStyle="Moeda">
      <calculatedColumnFormula>IF(E22=20,4,IF(OR(E22=30,E22=36),6,IF(OR(E22=40,E22=44,E22=48),8,IF(OR(E22="12x36",E22="12-SDF"),12,1))))</calculatedColumnFormula>
    </tableColumn>
    <tableColumn id="5" xr3:uid="{C9D85F8E-63A7-4196-9F4D-D5FC3B6EA1A3}" name="DIAS" dataDxfId="255" totalsRowDxfId="254" dataCellStyle="Moeda"/>
    <tableColumn id="6" xr3:uid="{028959DB-1C5C-4109-AD80-B742C697710F}" name="HORAS" dataDxfId="253" totalsRowDxfId="252" dataCellStyle="Moeda"/>
    <tableColumn id="7" xr3:uid="{E120D40F-97D3-48B2-8461-2B343F75A44D}" name="MINUTOS" dataDxfId="251" totalsRowDxfId="250" dataCellStyle="Moeda"/>
    <tableColumn id="8" xr3:uid="{5DC2AD25-91D5-42FA-9644-B0FAA74052F4}" name="PERÍODO SEM COBERTURA EM MINUTOS" dataDxfId="249" totalsRowDxfId="248" dataCellStyle="Vírgula">
      <calculatedColumnFormula>((Dotação_37.06[[#This Row],[DIAS]]*H22)*60)+(Dotação_37.06[[#This Row],[HORAS]]*60)+Dotação_37.06[[#This Row],[MINUTOS]]</calculatedColumnFormula>
    </tableColumn>
    <tableColumn id="9" xr3:uid="{C6AC1F32-FA11-4524-BD1D-A4DE469E550E}" name="GLOSA" totalsRowFunction="sum" dataDxfId="247" totalsRowDxfId="246" dataCellStyle="Moeda">
      <calculatedColumnFormula>IF(E22=20,F22/6000*L22,IF(E22=30,F22/9000*L22,IF(E22=36,F22/10800*L22,IF(E22=40,F22/12000*L22,IF(E22=44,F22/13200*L22,IF(E22=48,F22/14400*L22,IF(E22="12x36",F22/21600*L22,IF(E22="12-SDF",F22/5760*L22,0))))))))</calculatedColumnFormula>
    </tableColumn>
  </tableColumns>
  <tableStyleInfo name="TableStyleLight7" showFirstColumn="0" showLastColumn="0" showRowStripes="0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4" xr:uid="{EA029ECB-2EC2-4349-B638-23A755583670}" name="AUX_MANUT_PREDIAL47125" displayName="AUX_MANUT_PREDIAL47125" ref="B7:E13" totalsRowCount="1" headerRowDxfId="245" dataDxfId="243" totalsRowDxfId="241" headerRowBorderDxfId="244" tableBorderDxfId="242" totalsRowBorderDxfId="240">
  <autoFilter ref="B7:E12" xr:uid="{DFFCCB99-DCFA-4BA9-A714-0D0BB4B62B07}">
    <filterColumn colId="0" hiddenButton="1"/>
    <filterColumn colId="1" hiddenButton="1"/>
    <filterColumn colId="2" hiddenButton="1"/>
    <filterColumn colId="3" hiddenButton="1"/>
  </autoFilter>
  <tableColumns count="4">
    <tableColumn id="1" xr3:uid="{0CA0F5AB-B25E-4D7F-BEC4-0B0015F33161}" name="Descrição (ocorrência)" dataDxfId="239" totalsRowDxfId="238"/>
    <tableColumn id="2" xr3:uid="{86582BFF-DE5C-436A-AE81-59083325E8B7}" name="Gradação" dataDxfId="237" totalsRowDxfId="236"/>
    <tableColumn id="5" xr3:uid="{EE7994A5-4354-49CF-A30A-62E3B11AC2B1}" name="OCORRÊNCIAS" totalsRowLabel="TOTAL" dataDxfId="235" totalsRowDxfId="234"/>
    <tableColumn id="4" xr3:uid="{BAB8BE48-6DB5-422A-9DAA-579196F637EA}" name="PONTOS" totalsRowFunction="sum" dataDxfId="233" totalsRowDxfId="232">
      <calculatedColumnFormula>C8*D8</calculatedColumnFormula>
    </tableColumn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C2E5555-C37E-4BB6-84D6-8B6AB185DBE5}" name="Dotação_37.07" displayName="Dotação_37.07" ref="B21:M30" totalsRowCount="1" headerRowDxfId="231" dataDxfId="229" totalsRowDxfId="227" headerRowBorderDxfId="230" tableBorderDxfId="228" totalsRowBorderDxfId="226" dataCellStyle="Moeda">
  <autoFilter ref="B21:M29" xr:uid="{AB9DEAD7-8D54-4624-9203-3BE3D1480621}"/>
  <tableColumns count="12">
    <tableColumn id="1" xr3:uid="{85FC5C19-6D55-41EF-889F-01F85E20268B}" name="POSTO" totalsRowLabel="Total" dataDxfId="225" totalsRowDxfId="224"/>
    <tableColumn id="12" xr3:uid="{BD1C88F4-880E-491A-BAEF-3AFA8A601575}" name="POSTO2" dataDxfId="223" totalsRowDxfId="222"/>
    <tableColumn id="10" xr3:uid="{5A346280-20A0-453D-9856-6EC5AAC71253}" name="Quantidade" totalsRowFunction="sum" dataDxfId="221" totalsRowDxfId="220"/>
    <tableColumn id="2" xr3:uid="{1B5220D6-FBBA-440F-BE08-56CFB4C93539}" name="CARGA HORÁRIA SEMANAL" dataDxfId="219" totalsRowDxfId="218" dataCellStyle="Vírgula"/>
    <tableColumn id="3" xr3:uid="{05A0495D-3EB5-40B5-B0CA-4D9782964CFA}" name="VALOR DO POSTO" dataDxfId="217" totalsRowDxfId="216" dataCellStyle="Moeda"/>
    <tableColumn id="11" xr3:uid="{CDE43E6C-036B-480E-98ED-4FC9F56887B8}" name="VALOR MENSAL" totalsRowFunction="sum" dataDxfId="215" totalsRowDxfId="214" dataCellStyle="Moeda">
      <calculatedColumnFormula>Dotação_37.07[[#This Row],[VALOR DO POSTO]]*Dotação_37.07[[#This Row],[Quantidade]]</calculatedColumnFormula>
    </tableColumn>
    <tableColumn id="4" xr3:uid="{653DADC9-F7B9-4554-9B8D-5967242EC9F4}" name="Coluna1" dataDxfId="213" totalsRowDxfId="212" dataCellStyle="Moeda">
      <calculatedColumnFormula>IF(E22=20,4,IF(OR(E22=30,E22=36),6,IF(OR(E22=40,E22=44,E22=48),8,IF(OR(E22="12x36",E22="12-SDF"),12,1))))</calculatedColumnFormula>
    </tableColumn>
    <tableColumn id="5" xr3:uid="{8F00A61D-2C72-4435-9A40-4EBDD885F3DA}" name="DIAS" dataDxfId="211" totalsRowDxfId="210" dataCellStyle="Moeda"/>
    <tableColumn id="6" xr3:uid="{B042834A-484F-461E-BD2D-58098C3B1205}" name="HORAS" dataDxfId="209" totalsRowDxfId="208" dataCellStyle="Moeda"/>
    <tableColumn id="7" xr3:uid="{8C0C60EC-14C4-4BDD-AB0F-249C42C00B5A}" name="MINUTOS" dataDxfId="207" totalsRowDxfId="206" dataCellStyle="Moeda"/>
    <tableColumn id="8" xr3:uid="{6F7A1AC4-EB4D-4BCE-B1B4-717B2A170892}" name="PERÍODO SEM COBERTURA EM MINUTOS" dataDxfId="205" totalsRowDxfId="204" dataCellStyle="Vírgula">
      <calculatedColumnFormula>((Dotação_37.07[[#This Row],[DIAS]]*H22)*60)+(Dotação_37.07[[#This Row],[HORAS]]*60)+Dotação_37.07[[#This Row],[MINUTOS]]</calculatedColumnFormula>
    </tableColumn>
    <tableColumn id="9" xr3:uid="{D85CBF93-2699-42B0-BB08-518A39752B20}" name="GLOSA" totalsRowFunction="sum" dataDxfId="203" totalsRowDxfId="202" dataCellStyle="Moeda">
      <calculatedColumnFormula>IF(E22=20,F22/6000*L22,IF(E22=30,F22/9000*L22,IF(E22=36,F22/10800*L22,IF(E22=40,F22/12000*L22,IF(E22=44,F22/13200*L22,IF(E22=48,F22/14400*L22,IF(E22="12x36",F22/21600*L22,IF(E22="12-SDF",F22/5760*L22,0))))))))</calculatedColumnFormula>
    </tableColumn>
  </tableColumns>
  <tableStyleInfo name="TableStyleLight7" showFirstColumn="0" showLastColumn="0" showRowStripes="0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7" xr:uid="{A8D9A65C-6D57-4744-8DEF-D3A6C414E4B6}" name="OP_MAQ_COSTAL39138" displayName="OP_MAQ_COSTAL39138" ref="B7:E13" totalsRowCount="1" headerRowDxfId="201" dataDxfId="199" totalsRowDxfId="197" headerRowBorderDxfId="200" tableBorderDxfId="198" totalsRowBorderDxfId="196">
  <autoFilter ref="B7:E12" xr:uid="{40C09A3A-09CC-4CC7-BCC8-C8426406AEAF}">
    <filterColumn colId="0" hiddenButton="1"/>
    <filterColumn colId="1" hiddenButton="1"/>
    <filterColumn colId="2" hiddenButton="1"/>
    <filterColumn colId="3" hiddenButton="1"/>
  </autoFilter>
  <tableColumns count="4">
    <tableColumn id="1" xr3:uid="{D487F0B6-5A6F-4235-B119-531668269855}" name="Descrição (ocorrência)" dataDxfId="195" totalsRowDxfId="194"/>
    <tableColumn id="2" xr3:uid="{D3EA1C54-AF4E-4B06-875C-5D290A53A39E}" name="Gradação" dataDxfId="193" totalsRowDxfId="192"/>
    <tableColumn id="5" xr3:uid="{C10CDB2A-607C-4A39-AA73-5DC74F1F94C4}" name="OCORRÊNCIAS" totalsRowLabel="TOTAL" dataDxfId="191" totalsRowDxfId="190"/>
    <tableColumn id="4" xr3:uid="{B3F8F194-EB47-4F9D-BE7F-043DA1A84FB2}" name="PONTOS" totalsRowFunction="sum" dataDxfId="189" totalsRowDxfId="188">
      <calculatedColumnFormula>C8*D8</calculatedColumnFormula>
    </tableColumn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8" xr:uid="{A1151DCC-917E-4AA2-A996-45F89D863C59}" name="OP_CALDEIRA40139" displayName="OP_CALDEIRA40139" ref="B16:E22" totalsRowCount="1" headerRowDxfId="187" dataDxfId="185" totalsRowDxfId="183" headerRowBorderDxfId="186" tableBorderDxfId="184" totalsRowBorderDxfId="182">
  <autoFilter ref="B16:E21" xr:uid="{600AC74F-4DDC-4343-927E-2CB68F011E58}">
    <filterColumn colId="0" hiddenButton="1"/>
    <filterColumn colId="1" hiddenButton="1"/>
    <filterColumn colId="2" hiddenButton="1"/>
    <filterColumn colId="3" hiddenButton="1"/>
  </autoFilter>
  <tableColumns count="4">
    <tableColumn id="1" xr3:uid="{AE55054F-E47B-4606-AADA-31515399580F}" name="Descrição (ocorrência)" dataDxfId="181" totalsRowDxfId="180"/>
    <tableColumn id="2" xr3:uid="{8AA36263-DE4D-448D-975C-EEC7CAA3C76A}" name="Gradação" dataDxfId="179" totalsRowDxfId="178"/>
    <tableColumn id="5" xr3:uid="{55F62ECD-48DA-4646-A882-D73255C19816}" name="OCORRÊNCIAS" totalsRowLabel="TOTAL" dataDxfId="177" totalsRowDxfId="176"/>
    <tableColumn id="4" xr3:uid="{35225446-6C98-4183-BB00-280CE43435AF}" name="PONTOS" totalsRowFunction="sum" dataDxfId="175" totalsRowDxfId="174">
      <calculatedColumnFormula>C17*D17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2A3E2D-9215-45A3-9B71-EEAF8E149D55}" name="AUX_SERV_GERAIS" displayName="AUX_SERV_GERAIS" ref="B17:E25" totalsRowCount="1" headerRowDxfId="489" dataDxfId="487" totalsRowDxfId="485" headerRowBorderDxfId="488" tableBorderDxfId="486" totalsRowBorderDxfId="484">
  <autoFilter ref="B17:E24" xr:uid="{2437B3CE-38DE-4FCD-867C-048A3C159825}">
    <filterColumn colId="0" hiddenButton="1"/>
    <filterColumn colId="1" hiddenButton="1"/>
    <filterColumn colId="2" hiddenButton="1"/>
    <filterColumn colId="3" hiddenButton="1"/>
  </autoFilter>
  <tableColumns count="4">
    <tableColumn id="1" xr3:uid="{A05CEF1D-3A01-4C6E-8484-1C807A5CEAE2}" name="Descrição (ocorrência)" dataDxfId="483" totalsRowDxfId="482"/>
    <tableColumn id="2" xr3:uid="{FC59BB1C-8AAC-4244-8068-6EE538057C08}" name="Gradação" dataDxfId="481" totalsRowDxfId="480"/>
    <tableColumn id="5" xr3:uid="{201BFF6C-5C12-495F-AECD-647192129230}" name="OCORRÊNCIAS" totalsRowLabel="TOTAL" dataDxfId="479" totalsRowDxfId="478"/>
    <tableColumn id="4" xr3:uid="{4F0FA1E6-1A46-4E08-85DB-3F640BCBE8BE}" name="PONTOS" totalsRowFunction="sum" dataDxfId="477" totalsRowDxfId="476">
      <calculatedColumnFormula>C18*D18</calculatedColumnFormula>
    </tableColumn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3" xr:uid="{4F8F9DE1-9A15-4D3C-BA6C-7CEDD6ACC7BE}" name="OP_EMPILHADEIRA45144" displayName="OP_EMPILHADEIRA45144" ref="B25:E32" totalsRowCount="1" headerRowDxfId="173" dataDxfId="171" totalsRowDxfId="169" headerRowBorderDxfId="172" tableBorderDxfId="170" totalsRowBorderDxfId="168">
  <autoFilter ref="B25:E31" xr:uid="{5B1B1FD6-9BAF-4A0E-A659-3431A8128FBD}">
    <filterColumn colId="0" hiddenButton="1"/>
    <filterColumn colId="1" hiddenButton="1"/>
    <filterColumn colId="2" hiddenButton="1"/>
    <filterColumn colId="3" hiddenButton="1"/>
  </autoFilter>
  <tableColumns count="4">
    <tableColumn id="1" xr3:uid="{90F08678-119F-4F24-86B6-C816DF71291B}" name="Descrição (ocorrência)" dataDxfId="167" totalsRowDxfId="166"/>
    <tableColumn id="2" xr3:uid="{DA5EEBB4-BA62-4D24-BEB9-4071D74C9743}" name="Gradação" dataDxfId="165" totalsRowDxfId="164"/>
    <tableColumn id="5" xr3:uid="{C546B930-9162-4D18-9188-2EC25C3CF473}" name="OCORRÊNCIAS" totalsRowLabel="TOTAL" dataDxfId="163" totalsRowDxfId="162"/>
    <tableColumn id="4" xr3:uid="{95A18F0E-F21B-4A3D-9A0B-5E84C8C53DE0}" name="PONTOS" totalsRowFunction="sum" dataDxfId="161" totalsRowDxfId="160">
      <calculatedColumnFormula>C26*D26</calculatedColumnFormula>
    </tableColumn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DE84D76-E542-434D-8A76-4E4708E5749A}" name="Dotação_37.08" displayName="Dotação_37.08" ref="B40:M50" totalsRowCount="1" headerRowDxfId="159" dataDxfId="157" totalsRowDxfId="155" headerRowBorderDxfId="158" tableBorderDxfId="156" totalsRowBorderDxfId="154" dataCellStyle="Moeda">
  <autoFilter ref="B40:M49" xr:uid="{C21909D2-F3E2-43E5-AA97-478706048E00}"/>
  <tableColumns count="12">
    <tableColumn id="1" xr3:uid="{14B696F2-1598-48E9-B057-8CBA663BDB27}" name="POSTO" totalsRowLabel="Total" dataDxfId="153" totalsRowDxfId="152"/>
    <tableColumn id="12" xr3:uid="{1C71BEDC-4371-4370-A3A5-E926648671E8}" name="POSTO2" dataDxfId="151" totalsRowDxfId="150"/>
    <tableColumn id="10" xr3:uid="{0CDF9187-8051-4193-9987-63BBD6A18C6E}" name="Quantidade" totalsRowFunction="sum" dataDxfId="149" totalsRowDxfId="148"/>
    <tableColumn id="2" xr3:uid="{23A033A7-0582-41DB-A15E-F7CFA79FA5BF}" name="CARGA HORÁRIA SEMANAL" dataDxfId="147" totalsRowDxfId="146" dataCellStyle="Vírgula"/>
    <tableColumn id="3" xr3:uid="{D907157C-D7C5-44F8-AEF7-CD89ED9B7C57}" name="VALOR DO POSTO" dataDxfId="145" totalsRowDxfId="144" dataCellStyle="Moeda"/>
    <tableColumn id="11" xr3:uid="{780D4EEF-5DFE-40B7-8C35-0567F596B458}" name="VALOR MENSAL" totalsRowFunction="sum" dataDxfId="143" totalsRowDxfId="142" dataCellStyle="Moeda">
      <calculatedColumnFormula>Dotação_37.08[[#This Row],[VALOR DO POSTO]]*Dotação_37.08[[#This Row],[Quantidade]]</calculatedColumnFormula>
    </tableColumn>
    <tableColumn id="4" xr3:uid="{905EE2D8-4BBE-4C31-91C8-88EF089A91D1}" name="Coluna1" dataDxfId="141" totalsRowDxfId="140" dataCellStyle="Moeda">
      <calculatedColumnFormula>IF(E41=20,4,IF(OR(E41=30,E41=36),6,IF(OR(E41=40,E41=44,E41=48),8,IF(OR(E41="12x36",E41="12-SDF"),12,1))))</calculatedColumnFormula>
    </tableColumn>
    <tableColumn id="5" xr3:uid="{35814DED-BEAB-48AD-8821-832D7B2E8262}" name="DIAS" dataDxfId="139" totalsRowDxfId="138" dataCellStyle="Moeda"/>
    <tableColumn id="6" xr3:uid="{6CDA1416-A97A-4791-93DB-6A44033340AB}" name="HORAS" dataDxfId="137" totalsRowDxfId="136" dataCellStyle="Moeda"/>
    <tableColumn id="7" xr3:uid="{FEBB9D2F-195C-4DD8-B984-A8D3FC15FF82}" name="MINUTOS" dataDxfId="135" totalsRowDxfId="134" dataCellStyle="Moeda"/>
    <tableColumn id="8" xr3:uid="{59497156-8AB5-45D0-9347-3A877923D45A}" name="PERÍODO SEM COBERTURA EM MINUTOS" dataDxfId="133" totalsRowDxfId="132" dataCellStyle="Vírgula">
      <calculatedColumnFormula>((Dotação_37.08[[#This Row],[DIAS]]*H41)*60)+(Dotação_37.08[[#This Row],[HORAS]]*60)+Dotação_37.08[[#This Row],[MINUTOS]]</calculatedColumnFormula>
    </tableColumn>
    <tableColumn id="9" xr3:uid="{B9317552-0FA7-45ED-B7B1-AA891061EA2F}" name="GLOSA" totalsRowFunction="sum" dataDxfId="131" totalsRowDxfId="130" dataCellStyle="Moeda">
      <calculatedColumnFormula>IF(E41=20,F41/6000*L41,IF(E41=30,F41/9000*L41,IF(E41=36,F41/10800*L41,IF(E41=40,F41/12000*L41,IF(E41=44,F41/13200*L41,IF(E41=48,F41/14400*L41,IF(E41="12x36",F41/21600*L41,IF(E41="12-SDF",F41/5760*L41,0))))))))</calculatedColumnFormula>
    </tableColumn>
  </tableColumns>
  <tableStyleInfo name="TableStyleLight7" showFirstColumn="0" showLastColumn="0" showRowStripes="0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8A1B256C-3012-419C-B1C5-CCEA0EC249A9}" name="MERENDEIROS36" displayName="MERENDEIROS36" ref="B7:E15" totalsRowCount="1" headerRowDxfId="129" dataDxfId="127" totalsRowDxfId="125" headerRowBorderDxfId="128" tableBorderDxfId="126" totalsRowBorderDxfId="124">
  <autoFilter ref="B7:E14" xr:uid="{ECE54B6A-0BE0-43C1-BD41-2F9AF0D60D87}">
    <filterColumn colId="0" hiddenButton="1"/>
    <filterColumn colId="1" hiddenButton="1"/>
    <filterColumn colId="2" hiddenButton="1"/>
    <filterColumn colId="3" hiddenButton="1"/>
  </autoFilter>
  <tableColumns count="4">
    <tableColumn id="1" xr3:uid="{9544180C-D8DD-4C9A-8299-2AF1DBB50E98}" name="Descrição (ocorrência)" dataDxfId="123" totalsRowDxfId="122"/>
    <tableColumn id="2" xr3:uid="{430310F8-3F33-47C6-AB4C-0A669F8AD0C2}" name="Gradação" dataDxfId="121" totalsRowDxfId="120"/>
    <tableColumn id="5" xr3:uid="{34C4BFA5-290C-4C87-8ECE-51FA541F54D7}" name="OCORRÊNCIAS" totalsRowLabel="TOTAL" dataDxfId="119" totalsRowDxfId="118"/>
    <tableColumn id="4" xr3:uid="{51853C4D-EA2C-4DA9-9054-8C05724E1D1E}" name="PONTOS" totalsRowFunction="sum" dataDxfId="117" totalsRowDxfId="116">
      <calculatedColumnFormula>C8*D8</calculatedColumnFormula>
    </tableColumn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16F07B5C-9379-4CA3-8F91-4910B2277601}" name="COZINHEIROS41" displayName="COZINHEIROS41" ref="B18:E26" totalsRowCount="1" headerRowDxfId="115" dataDxfId="113" totalsRowDxfId="111" headerRowBorderDxfId="114" tableBorderDxfId="112" totalsRowBorderDxfId="110">
  <autoFilter ref="B18:E25" xr:uid="{695F94BC-E68F-4C5C-83D8-4EA40AE8C6DA}">
    <filterColumn colId="0" hiddenButton="1"/>
    <filterColumn colId="1" hiddenButton="1"/>
    <filterColumn colId="3" hiddenButton="1"/>
  </autoFilter>
  <tableColumns count="4">
    <tableColumn id="1" xr3:uid="{92706B1B-A93F-4A3B-B7BE-B4D4F39B19DC}" name="Descrição (ocorrência)" dataDxfId="109" totalsRowDxfId="108"/>
    <tableColumn id="2" xr3:uid="{74A48452-CBED-4E44-B492-01C5048D15EA}" name="Gradação" dataDxfId="107" totalsRowDxfId="106"/>
    <tableColumn id="5" xr3:uid="{96F95E12-6B76-4B95-ADFE-894E4F3ABD56}" name="OCORRÊNCIAS" totalsRowLabel="TOTAL" dataDxfId="105" totalsRowDxfId="104"/>
    <tableColumn id="4" xr3:uid="{85D005D6-FE07-4D75-A399-69DD7B6BED43}" name="PONTOS" totalsRowFunction="sum" dataDxfId="103" totalsRowDxfId="102">
      <calculatedColumnFormula>C19*D19</calculatedColumnFormula>
    </tableColumn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D73D8806-2FEE-4E20-A174-3BACAF514558}" name="AUX_COZINHA42" displayName="AUX_COZINHA42" ref="B29:E38" totalsRowCount="1" headerRowDxfId="101" dataDxfId="99" totalsRowDxfId="97" headerRowBorderDxfId="100" tableBorderDxfId="98" totalsRowBorderDxfId="96">
  <autoFilter ref="B29:E37" xr:uid="{0B9F25FA-7ADF-4BCD-80AA-4B6C60F2BE78}">
    <filterColumn colId="0" hiddenButton="1"/>
    <filterColumn colId="1" hiddenButton="1"/>
    <filterColumn colId="2" hiddenButton="1"/>
    <filterColumn colId="3" hiddenButton="1"/>
  </autoFilter>
  <tableColumns count="4">
    <tableColumn id="1" xr3:uid="{DE892251-A2BE-424A-B2E0-94AD8A03C491}" name="Descrição (ocorrência)" dataDxfId="95" totalsRowDxfId="94"/>
    <tableColumn id="2" xr3:uid="{EAA66048-1D8D-4F50-9DF5-40E19962DEF9}" name="Gradação" dataDxfId="93" totalsRowDxfId="92"/>
    <tableColumn id="5" xr3:uid="{30CE8F2E-6536-4E3D-9BC5-F34BE2CB312B}" name="OCORRÊNCIAS" totalsRowLabel="TOTAL" dataDxfId="91" totalsRowDxfId="90"/>
    <tableColumn id="4" xr3:uid="{4E99E509-A1A5-43D5-AAE8-5ECF638652FA}" name="PONTOS" totalsRowFunction="sum" dataDxfId="89" totalsRowDxfId="88">
      <calculatedColumnFormula>C30*#REF!*D30</calculatedColumnFormula>
    </tableColumn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8D267A2D-507A-42A4-A982-0B534034D92C}" name="TRATADOR_ANIMAIS46" displayName="TRATADOR_ANIMAIS46" ref="B41:E48" totalsRowCount="1" headerRowDxfId="87" dataDxfId="85" totalsRowDxfId="83" headerRowBorderDxfId="86" tableBorderDxfId="84" totalsRowBorderDxfId="82">
  <autoFilter ref="B41:E47" xr:uid="{A4AD5602-F34D-4D29-BCF2-C02103DAB31C}">
    <filterColumn colId="0" hiddenButton="1"/>
    <filterColumn colId="1" hiddenButton="1"/>
    <filterColumn colId="2" hiddenButton="1"/>
    <filterColumn colId="3" hiddenButton="1"/>
  </autoFilter>
  <tableColumns count="4">
    <tableColumn id="1" xr3:uid="{BDC47B2F-B637-4D24-8E22-6425EE36DCA0}" name="Descrição (ocorrência)" dataDxfId="81" totalsRowDxfId="80"/>
    <tableColumn id="2" xr3:uid="{FA5D8F4D-7EBC-4DAF-80F5-025111A1354D}" name="Gradação" dataDxfId="79" totalsRowDxfId="78"/>
    <tableColumn id="5" xr3:uid="{3E9A46F6-3B02-4AAC-BF3B-6AAF965297DB}" name="OCORRÊNCIAS" totalsRowLabel="TOTAL" dataDxfId="77" totalsRowDxfId="76"/>
    <tableColumn id="4" xr3:uid="{48A9391B-2F0D-4B27-8E4C-E80BE68B6721}" name="PONTOS" totalsRowFunction="sum" dataDxfId="75" totalsRowDxfId="74">
      <calculatedColumnFormula>C42*D42</calculatedColumnFormula>
    </tableColumn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A29D1BE-2941-4335-A372-49AF8D8A7F58}" name="Dotação_37.09" displayName="Dotação_37.09" ref="B56:M78" totalsRowCount="1" headerRowDxfId="73" dataDxfId="71" totalsRowDxfId="69" headerRowBorderDxfId="72" tableBorderDxfId="70" totalsRowBorderDxfId="68" dataCellStyle="Moeda">
  <autoFilter ref="B56:M77" xr:uid="{0E330EBE-C1E9-4AC7-AE61-0DE35385C66C}"/>
  <tableColumns count="12">
    <tableColumn id="1" xr3:uid="{0CA95D08-66B3-48E7-88CB-F84F1787E73B}" name="POSTO" totalsRowLabel="Total" dataDxfId="67" totalsRowDxfId="66"/>
    <tableColumn id="12" xr3:uid="{5E43DBF6-F49B-49EE-8C73-3F7CC74DC9E7}" name="POSTO2" dataDxfId="65" totalsRowDxfId="64"/>
    <tableColumn id="10" xr3:uid="{6943CE50-F3E5-4426-BA0F-9D4F8CBC6588}" name="Quantidade" totalsRowFunction="sum" dataDxfId="63" totalsRowDxfId="62"/>
    <tableColumn id="2" xr3:uid="{4240AE04-F875-4BC2-BC6E-610AEA03DED9}" name="CARGA HORÁRIA SEMANAL" dataDxfId="61" totalsRowDxfId="60" dataCellStyle="Vírgula"/>
    <tableColumn id="3" xr3:uid="{48A0034E-00BC-4A15-822D-E379CBC036BD}" name="VALOR DO POSTO" dataDxfId="59" totalsRowDxfId="58" dataCellStyle="Moeda"/>
    <tableColumn id="11" xr3:uid="{14DBEDFA-4091-43A2-95EA-214AF1393856}" name="VALOR MENSAL" totalsRowFunction="sum" dataDxfId="57" totalsRowDxfId="56" dataCellStyle="Moeda">
      <calculatedColumnFormula>Dotação_37.09[[#This Row],[VALOR DO POSTO]]*Dotação_37.09[[#This Row],[Quantidade]]</calculatedColumnFormula>
    </tableColumn>
    <tableColumn id="4" xr3:uid="{133F024C-C92A-43DA-B0A9-F2AF580B121A}" name="Coluna1" dataDxfId="55" totalsRowDxfId="54" dataCellStyle="Moeda">
      <calculatedColumnFormula>IF(E57=20,4,IF(OR(E57=30,E57=36),6,IF(OR(E57=40,E57=44,E57=48),8,IF(OR(E57="12x36",E57="12-SDF"),12,1))))</calculatedColumnFormula>
    </tableColumn>
    <tableColumn id="5" xr3:uid="{DC7DA281-5211-43BE-AC9A-9B86D75FB58D}" name="DIAS" dataDxfId="53" totalsRowDxfId="52" dataCellStyle="Moeda"/>
    <tableColumn id="6" xr3:uid="{3FE1D1A1-386A-44FC-8652-64D565813BAD}" name="HORAS" dataDxfId="51" totalsRowDxfId="50" dataCellStyle="Moeda"/>
    <tableColumn id="7" xr3:uid="{6821AF51-5712-434D-96EA-F84A23FDE06B}" name="MINUTOS" dataDxfId="49" totalsRowDxfId="48" dataCellStyle="Moeda"/>
    <tableColumn id="8" xr3:uid="{49BFF52E-B588-460F-8C06-63349BAF9818}" name="PERÍODO SEM COBERTURA EM MINUTOS" dataDxfId="47" totalsRowDxfId="46" dataCellStyle="Vírgula">
      <calculatedColumnFormula>((Dotação_37.09[[#This Row],[DIAS]]*H57)*60)+(Dotação_37.09[[#This Row],[HORAS]]*60)+Dotação_37.09[[#This Row],[MINUTOS]]</calculatedColumnFormula>
    </tableColumn>
    <tableColumn id="9" xr3:uid="{D3A0582A-5D9E-4F35-BC93-62478C49CB84}" name="GLOSA" totalsRowFunction="sum" dataDxfId="45" totalsRowDxfId="44" dataCellStyle="Moeda">
      <calculatedColumnFormula>IF(E57=20,F57/6000*L57,IF(E57=30,F57/9000*L57,IF(E57=36,F57/10800*L57,IF(E57=40,F57/12000*L57,IF(E57=44,F57/13200*L57,IF(E57=48,F57/14400*L57,IF(E57="12x36",F57/21600*L57,IF(E57="12-SDF",F57/5760*L57,0))))))))</calculatedColumnFormula>
    </tableColumn>
  </tableColumns>
  <tableStyleInfo name="TableStyleLight7" showFirstColumn="0" showLastColumn="0" showRowStripes="0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6D04606A-A8D6-43C8-B22A-E9FCB7CECCA2}" name="VIGIAS_FLORESTAIS65" displayName="VIGIAS_FLORESTAIS65" ref="B7:E14" totalsRowCount="1" headerRowDxfId="43" dataDxfId="41" totalsRowDxfId="39" headerRowBorderDxfId="42" tableBorderDxfId="40" totalsRowBorderDxfId="38">
  <autoFilter ref="B7:E13" xr:uid="{BA078C3B-AA5A-471F-BD00-D32E001AE71B}">
    <filterColumn colId="0" hiddenButton="1"/>
    <filterColumn colId="1" hiddenButton="1"/>
    <filterColumn colId="2" hiddenButton="1"/>
    <filterColumn colId="3" hiddenButton="1"/>
  </autoFilter>
  <tableColumns count="4">
    <tableColumn id="1" xr3:uid="{4F69E8FE-35C6-47B8-9487-4995E8D395E3}" name="Descrição (ocorrência)" dataDxfId="37" totalsRowDxfId="36"/>
    <tableColumn id="2" xr3:uid="{51931DCE-8D54-4179-AF10-3A95533FC008}" name="Gradação" dataDxfId="35" totalsRowDxfId="34"/>
    <tableColumn id="5" xr3:uid="{CEE6417A-B1EC-42EE-ADAC-B1C620B3005E}" name="OCORRÊNCIAS" totalsRowLabel="TOTAL" dataDxfId="33" totalsRowDxfId="32"/>
    <tableColumn id="4" xr3:uid="{0CA55C82-88D3-4555-B83E-C5A0DE90A054}" name="PONTOS" totalsRowFunction="sum" dataDxfId="31" totalsRowDxfId="30">
      <calculatedColumnFormula>C8*D8</calculatedColumnFormula>
    </tableColumn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31E102F-70B6-4986-814F-69C85B004220}" name="dotação_37.02" displayName="dotação_37.02" ref="B22:M32" totalsRowCount="1" headerRowDxfId="29" dataDxfId="27" totalsRowDxfId="25" headerRowBorderDxfId="28" tableBorderDxfId="26" totalsRowBorderDxfId="24" dataCellStyle="Moeda">
  <autoFilter ref="B22:M31" xr:uid="{88B16605-DE28-41E8-862A-23D957804EC5}"/>
  <tableColumns count="12">
    <tableColumn id="1" xr3:uid="{6C3E66BD-0B61-4118-B20B-F583B95C4602}" name="POSTO" totalsRowLabel="Total" dataDxfId="23" totalsRowDxfId="22"/>
    <tableColumn id="12" xr3:uid="{79D520C6-5440-4E24-9857-BEAB63D5F75C}" name="POSTO2" dataDxfId="21" totalsRowDxfId="20"/>
    <tableColumn id="10" xr3:uid="{4581A1BE-6DA9-4906-9D8E-05D04D646FFD}" name="Quantidade" totalsRowFunction="sum" dataDxfId="19" totalsRowDxfId="18"/>
    <tableColumn id="2" xr3:uid="{258914CF-FA60-4F7F-A9A2-B6CC52693089}" name="CARGA HORÁRIA SEMANAL" dataDxfId="17" totalsRowDxfId="16" dataCellStyle="Vírgula"/>
    <tableColumn id="3" xr3:uid="{00CCF5FD-1ACE-463D-87DE-99DADB034DC1}" name="VALOR DO POSTO" dataDxfId="15" totalsRowDxfId="14" dataCellStyle="Moeda"/>
    <tableColumn id="11" xr3:uid="{47D2923D-2506-47BD-8D21-ECD091A29830}" name="VALOR MENSAL" totalsRowFunction="sum" dataDxfId="13" totalsRowDxfId="12" dataCellStyle="Moeda">
      <calculatedColumnFormula>dotação_37.02[[#This Row],[VALOR DO POSTO]]*dotação_37.02[[#This Row],[Quantidade]]</calculatedColumnFormula>
    </tableColumn>
    <tableColumn id="4" xr3:uid="{8CCAD99A-38BC-412E-B3BC-1051810CE6F2}" name="Coluna1" dataDxfId="11" totalsRowDxfId="10" dataCellStyle="Moeda">
      <calculatedColumnFormula>IF(E23=20,4,IF(OR(E23=30,E23=36),6,IF(OR(E23=40,E23=44,E23=48),8,IF(OR(E23="12x36",E23="12-SDF"),12,1))))</calculatedColumnFormula>
    </tableColumn>
    <tableColumn id="5" xr3:uid="{AE3B7F5E-872C-4C68-85F6-478CBEF63A74}" name="DIAS" dataDxfId="9" totalsRowDxfId="8" dataCellStyle="Moeda"/>
    <tableColumn id="6" xr3:uid="{F50A771B-D983-4C77-A8A1-287C5DACA4D4}" name="HORAS" dataDxfId="7" totalsRowDxfId="6" dataCellStyle="Moeda"/>
    <tableColumn id="7" xr3:uid="{C36CEF68-3CFE-4D9C-B11B-DDE4D404005D}" name="MINUTOS" dataDxfId="5" totalsRowDxfId="4" dataCellStyle="Moeda"/>
    <tableColumn id="8" xr3:uid="{CE47B845-0F8D-4592-8B0A-EBE75A986D23}" name="PERÍODO SEM COBERTURA EM MINUTOS" dataDxfId="3" totalsRowDxfId="2" dataCellStyle="Vírgula">
      <calculatedColumnFormula>((dotação_37.02[[#This Row],[DIAS]]*H23)*60)+(dotação_37.02[[#This Row],[HORAS]]*60)+dotação_37.02[[#This Row],[MINUTOS]]</calculatedColumnFormula>
    </tableColumn>
    <tableColumn id="9" xr3:uid="{47C319E0-E093-4675-BDAA-F8CEFF278110}" name="GLOSA" totalsRowFunction="sum" dataDxfId="1" totalsRowDxfId="0" dataCellStyle="Moeda">
      <calculatedColumnFormula>IF(E23=20,F23/6000*L23,IF(E23=30,F23/9000*L23,IF(E23=36,F23/10800*L23,IF(E23=40,F23/12000*L23,IF(E23=44,F23/13200*L23,IF(E23=48,F23/14400*L23,IF(E23="12x36",F23/21600*L23,IF(E23="12-SDF",F23/5760*L23,0))))))))</calculatedColumnFormula>
    </tableColumn>
  </tableColumns>
  <tableStyleInfo name="TableStyleLight7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6E052B8-2ACE-424A-9140-ED6C6A3D1A8A}" name="SERVENTE_LIMPEZA" displayName="SERVENTE_LIMPEZA" ref="B28:E36" totalsRowCount="1" headerRowDxfId="475" dataDxfId="473" totalsRowDxfId="471" headerRowBorderDxfId="474" tableBorderDxfId="472" totalsRowBorderDxfId="470">
  <autoFilter ref="B28:E35" xr:uid="{50118C48-3EFC-48DE-8700-44A901B0BFE3}">
    <filterColumn colId="0" hiddenButton="1"/>
    <filterColumn colId="1" hiddenButton="1"/>
    <filterColumn colId="2" hiddenButton="1"/>
    <filterColumn colId="3" hiddenButton="1"/>
  </autoFilter>
  <tableColumns count="4">
    <tableColumn id="1" xr3:uid="{290B9595-DF1D-4222-A0E9-799C8ACD736E}" name="Descrição (ocorrência)" dataDxfId="469" totalsRowDxfId="468"/>
    <tableColumn id="2" xr3:uid="{92E63B06-AE82-4336-83BE-9AF0082CB206}" name="Gradação" dataDxfId="467" totalsRowDxfId="466"/>
    <tableColumn id="5" xr3:uid="{5E45C524-E4D6-42DF-A001-2DE2AA24DF04}" name="OCORRÊNCIAS" totalsRowLabel="TOTAL" dataDxfId="465" totalsRowDxfId="464"/>
    <tableColumn id="4" xr3:uid="{1F33CA62-B70A-4CC8-8488-D7B9712438F8}" name="PONTOS" totalsRowFunction="sum" dataDxfId="463" totalsRowDxfId="462">
      <calculatedColumnFormula>C29*D29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7724920D-D1E8-4983-9379-E836FD8C5106}" name="AUX_LAVANDERIA" displayName="AUX_LAVANDERIA" ref="B40:E46" totalsRowCount="1" headerRowDxfId="461" dataDxfId="459" totalsRowDxfId="457" headerRowBorderDxfId="460" tableBorderDxfId="458" totalsRowBorderDxfId="456">
  <autoFilter ref="B40:E45" xr:uid="{AD003684-55E6-4D48-9DE1-3D9A17CC402D}">
    <filterColumn colId="0" hiddenButton="1"/>
    <filterColumn colId="1" hiddenButton="1"/>
    <filterColumn colId="2" hiddenButton="1"/>
    <filterColumn colId="3" hiddenButton="1"/>
  </autoFilter>
  <tableColumns count="4">
    <tableColumn id="1" xr3:uid="{DE752426-85C1-4A67-BCD0-969767AF02FE}" name="Descrição (ocorrência)" dataDxfId="455" totalsRowDxfId="454"/>
    <tableColumn id="2" xr3:uid="{BE11E80F-A065-4E8B-9BF9-A78EC0DA8910}" name="Gradação" dataDxfId="453" totalsRowDxfId="452"/>
    <tableColumn id="5" xr3:uid="{4D487B2F-74CA-46D8-91D7-34FC0152B092}" name="OCORRÊNCIAS" totalsRowLabel="TOTAL" dataDxfId="451" totalsRowDxfId="450"/>
    <tableColumn id="4" xr3:uid="{02A870D4-BAAB-4FA6-B401-3ED4067C5091}" name="PONTOS" totalsRowFunction="sum" dataDxfId="449" totalsRowDxfId="448">
      <calculatedColumnFormula>C41*D41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E393FF6-3230-473C-8952-496BC26121DB}" name="LAVADOR_VEÍCULOS" displayName="LAVADOR_VEÍCULOS" ref="B49:E55" totalsRowCount="1" headerRowDxfId="447" dataDxfId="445" totalsRowDxfId="443" headerRowBorderDxfId="446" tableBorderDxfId="444" totalsRowBorderDxfId="442">
  <autoFilter ref="B49:E54" xr:uid="{4D794B2E-0C72-4A50-9371-116DAF06BFDD}">
    <filterColumn colId="0" hiddenButton="1"/>
    <filterColumn colId="1" hiddenButton="1"/>
    <filterColumn colId="2" hiddenButton="1"/>
    <filterColumn colId="3" hiddenButton="1"/>
  </autoFilter>
  <tableColumns count="4">
    <tableColumn id="1" xr3:uid="{F0C0CE51-23DE-4FEB-A52B-3EA0C6B73784}" name="Descrição (ocorrência)" dataDxfId="441" totalsRowDxfId="440"/>
    <tableColumn id="2" xr3:uid="{BFCA9F43-3FAF-495A-9130-E8281162981D}" name="Gradação" dataDxfId="439" totalsRowDxfId="438"/>
    <tableColumn id="5" xr3:uid="{12953449-50BC-4A0D-B20F-313D310FE527}" name="OCORRÊNCIAS" totalsRowLabel="TOTAL" dataDxfId="437" totalsRowDxfId="436"/>
    <tableColumn id="4" xr3:uid="{26671B91-7E62-4DDC-917F-D14B6AEFDC35}" name="PONTOS" totalsRowFunction="sum" dataDxfId="435" totalsRowDxfId="434">
      <calculatedColumnFormula>C50*D50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7270226-EE78-487D-B1BE-945498375291}" name="LIMPEZA_VIDROS" displayName="LIMPEZA_VIDROS" ref="B58:E65" totalsRowCount="1" headerRowDxfId="433" dataDxfId="431" totalsRowDxfId="429" headerRowBorderDxfId="432" tableBorderDxfId="430" totalsRowBorderDxfId="428">
  <autoFilter ref="B58:E64" xr:uid="{2AB82FA4-4D62-45C4-91FA-2E9F0307ED3B}">
    <filterColumn colId="0" hiddenButton="1"/>
    <filterColumn colId="1" hiddenButton="1"/>
    <filterColumn colId="2" hiddenButton="1"/>
    <filterColumn colId="3" hiddenButton="1"/>
  </autoFilter>
  <tableColumns count="4">
    <tableColumn id="1" xr3:uid="{6E496B29-BC0B-4D5C-9058-CAF5A3AE06DF}" name="Descrição (ocorrência)" dataDxfId="427" totalsRowDxfId="426"/>
    <tableColumn id="2" xr3:uid="{F0836671-133D-470C-8837-C688BDB0D3E7}" name="Gradação" dataDxfId="425" totalsRowDxfId="424"/>
    <tableColumn id="5" xr3:uid="{9ABF84E3-26D8-45BD-9A36-2F66FB52DDBE}" name="OCORRÊNCIAS" totalsRowLabel="TOTAL" dataDxfId="423" totalsRowDxfId="422"/>
    <tableColumn id="4" xr3:uid="{EBF30D6E-CEF7-4D65-B027-4DFA196C22D5}" name="PONTOS" totalsRowFunction="sum" dataDxfId="421" totalsRowDxfId="420">
      <calculatedColumnFormula>C59*D59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BDE4AECA-3B4A-4C4E-99A8-735EF794F2A6}" name="LIMPEZA_ÁREAS_EXT" displayName="LIMPEZA_ÁREAS_EXT" ref="B68:E74" totalsRowCount="1" headerRowDxfId="419" dataDxfId="417" totalsRowDxfId="415" headerRowBorderDxfId="418" tableBorderDxfId="416" totalsRowBorderDxfId="414">
  <autoFilter ref="B68:E73" xr:uid="{BA7CC80E-D5D0-434A-8891-39676A807832}">
    <filterColumn colId="0" hiddenButton="1"/>
    <filterColumn colId="1" hiddenButton="1"/>
    <filterColumn colId="2" hiddenButton="1"/>
    <filterColumn colId="3" hiddenButton="1"/>
  </autoFilter>
  <tableColumns count="4">
    <tableColumn id="1" xr3:uid="{9EDDA104-D491-416C-900A-00FC10939503}" name="Descrição (ocorrência)" dataDxfId="413" totalsRowDxfId="412"/>
    <tableColumn id="2" xr3:uid="{012DDF1C-07E4-48AB-9283-1646673BE498}" name="Gradação" dataDxfId="411" totalsRowDxfId="410"/>
    <tableColumn id="5" xr3:uid="{F2E097E7-63F2-4330-98C5-926329473961}" name="OCORRÊNCIAS" totalsRowLabel="TOTAL" dataDxfId="409" totalsRowDxfId="408"/>
    <tableColumn id="4" xr3:uid="{41B66889-493A-4D47-B7CE-8FD79B02119B}" name="PONTOS" totalsRowFunction="sum" dataDxfId="407" totalsRowDxfId="406">
      <calculatedColumnFormula>C69*D69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73DD467-2540-4D06-B1AA-8D277A961748}" name="Dotação_37.01" displayName="Dotação_37.01" ref="B82:M108" totalsRowCount="1" headerRowDxfId="405" dataDxfId="403" totalsRowDxfId="401" headerRowBorderDxfId="404" tableBorderDxfId="402" totalsRowBorderDxfId="400" dataCellStyle="Moeda">
  <autoFilter ref="B82:M107" xr:uid="{11DF2C8D-14C6-46BB-BCBB-C5B09E9A81BF}"/>
  <tableColumns count="12">
    <tableColumn id="1" xr3:uid="{3948722E-8D80-4C6F-AB22-519FD1035CE2}" name="POSTO" totalsRowLabel="Total" dataDxfId="399" totalsRowDxfId="398"/>
    <tableColumn id="12" xr3:uid="{4FCD2F18-96FA-4E00-A561-F6AB98A02162}" name="POSTO2" dataDxfId="397" totalsRowDxfId="396"/>
    <tableColumn id="10" xr3:uid="{FCFD7B4D-F6CC-4B9B-BB01-364979284189}" name="Quantidade" totalsRowFunction="sum" dataDxfId="395" totalsRowDxfId="394"/>
    <tableColumn id="2" xr3:uid="{ECDEA07E-4FF6-4CAE-BE49-85F7E0AE6F69}" name="CARGA HORÁRIA SEMANAL" dataDxfId="393" totalsRowDxfId="392" dataCellStyle="Vírgula"/>
    <tableColumn id="3" xr3:uid="{6F7303F0-B5DA-4244-BC94-A6B4E446563F}" name="VALOR DO POSTO" dataDxfId="391" totalsRowDxfId="390" dataCellStyle="Moeda"/>
    <tableColumn id="11" xr3:uid="{DACAA906-1783-486B-8D36-C511AD66393E}" name="VALOR MENSAL" totalsRowFunction="sum" dataDxfId="389" totalsRowDxfId="388" dataCellStyle="Moeda">
      <calculatedColumnFormula>Dotação_37.01[[#This Row],[VALOR DO POSTO]]*Dotação_37.01[[#This Row],[Quantidade]]</calculatedColumnFormula>
    </tableColumn>
    <tableColumn id="4" xr3:uid="{0192AF04-2512-4680-AC4C-7E3808C33D71}" name="Coluna1" dataDxfId="387" totalsRowDxfId="386" dataCellStyle="Moeda">
      <calculatedColumnFormula>IF(E83=20,4,IF(OR(E83=30,E83=36),6,IF(OR(E83=40,E83=44,E83=48),8,IF(OR(E83="12x36",E83="12-SDF"),12,1))))</calculatedColumnFormula>
    </tableColumn>
    <tableColumn id="5" xr3:uid="{7A36428F-DC7F-41FE-BC75-7A94205200AA}" name="DIAS" dataDxfId="385" totalsRowDxfId="384" dataCellStyle="Moeda"/>
    <tableColumn id="6" xr3:uid="{DCA563D1-08D5-4075-A9D9-F2E51456C758}" name="HORAS" dataDxfId="383" totalsRowDxfId="382" dataCellStyle="Moeda"/>
    <tableColumn id="7" xr3:uid="{B57FC1B6-7290-410B-A36E-A4B9BC957C86}" name="MINUTOS" dataDxfId="381" totalsRowDxfId="380" dataCellStyle="Moeda"/>
    <tableColumn id="8" xr3:uid="{91316B66-1ED4-4077-8840-804567398F3F}" name="PERÍODO SEM COBERTURA EM MINUTOS" dataDxfId="379" totalsRowDxfId="378" dataCellStyle="Vírgula">
      <calculatedColumnFormula>((Dotação_37.01[[#This Row],[DIAS]]*H83)*60)+(Dotação_37.01[[#This Row],[HORAS]]*60)+Dotação_37.01[[#This Row],[MINUTOS]]</calculatedColumnFormula>
    </tableColumn>
    <tableColumn id="9" xr3:uid="{949A8CCF-380F-412C-83CB-BD00F85F44F6}" name="GLOSA" totalsRowFunction="sum" dataDxfId="377" totalsRowDxfId="376" dataCellStyle="Moeda">
      <calculatedColumnFormula>IF(E83=20,F83/6000*L83,IF(E83=30,F83/9000*L83,IF(E83=36,F83/10800*L83,IF(E83=40,F83/12000*L83,IF(E83=44,F83/13200*L83,IF(E83=48,F83/14400*L83,IF(E83="12x36",F83/21600*L83,IF(E83="12-SDF",F83/5760*L83,0))))))))</calculatedColumnFormula>
    </tableColumn>
  </tableColumns>
  <tableStyleInfo name="TableStyleLight7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C0682F87-ECD0-4E29-9E06-A4C9DFC0983C}" name="PORTEIROS3369" displayName="PORTEIROS3369" ref="B7:E14" totalsRowCount="1" headerRowDxfId="375" dataDxfId="373" totalsRowDxfId="371" headerRowBorderDxfId="374" tableBorderDxfId="372" totalsRowBorderDxfId="370">
  <autoFilter ref="B7:E13" xr:uid="{3B06C0DC-7E87-404F-AF99-3D487014056E}">
    <filterColumn colId="0" hiddenButton="1"/>
    <filterColumn colId="1" hiddenButton="1"/>
    <filterColumn colId="2" hiddenButton="1"/>
    <filterColumn colId="3" hiddenButton="1"/>
  </autoFilter>
  <tableColumns count="4">
    <tableColumn id="1" xr3:uid="{A495E1E1-E54F-4F91-8B7E-EDF9F5A3510A}" name="Descrição (ocorrência)" dataDxfId="369" totalsRowDxfId="368"/>
    <tableColumn id="2" xr3:uid="{C7487F98-E0E3-451E-B2C5-8E543692310E}" name="Gradação" dataDxfId="367" totalsRowDxfId="366"/>
    <tableColumn id="5" xr3:uid="{2208D09B-352A-4EE1-A904-AC198F4E719A}" name="OCORRÊNCIAS" totalsRowLabel="TOTAL" dataDxfId="365" totalsRowDxfId="364"/>
    <tableColumn id="4" xr3:uid="{6EA65E8B-EF8B-4AC5-8286-B196C041E79A}" name="PONTOS" totalsRowFunction="sum" dataDxfId="363" totalsRowDxfId="362">
      <calculatedColumnFormula>C8*D8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21.xml"/><Relationship Id="rId4" Type="http://schemas.openxmlformats.org/officeDocument/2006/relationships/table" Target="../tables/table20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26.xml"/><Relationship Id="rId5" Type="http://schemas.openxmlformats.org/officeDocument/2006/relationships/table" Target="../tables/table25.xml"/><Relationship Id="rId4" Type="http://schemas.openxmlformats.org/officeDocument/2006/relationships/table" Target="../tables/table2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13108-D87C-44F0-8938-B46981BF1CA1}">
  <sheetPr codeName="Planilha1"/>
  <dimension ref="B1:H1048261"/>
  <sheetViews>
    <sheetView showGridLines="0" zoomScale="85" zoomScaleNormal="85" workbookViewId="0"/>
  </sheetViews>
  <sheetFormatPr defaultRowHeight="15" x14ac:dyDescent="0.25"/>
  <cols>
    <col min="1" max="1" width="12.5703125" style="1" customWidth="1"/>
    <col min="2" max="2" width="30" style="1" customWidth="1"/>
    <col min="3" max="3" width="18.140625" style="4" customWidth="1"/>
    <col min="4" max="4" width="51.28515625" style="5" customWidth="1"/>
    <col min="5" max="5" width="22.140625" style="5" customWidth="1"/>
    <col min="6" max="6" width="15" style="3" customWidth="1"/>
    <col min="7" max="7" width="25.42578125" style="1" customWidth="1"/>
    <col min="8" max="8" width="22.7109375" style="1" customWidth="1"/>
    <col min="9" max="10" width="9.140625" style="1" customWidth="1"/>
    <col min="11" max="16384" width="9.140625" style="1"/>
  </cols>
  <sheetData>
    <row r="1" spans="2:8" ht="37.5" customHeight="1" thickBot="1" x14ac:dyDescent="0.3"/>
    <row r="2" spans="2:8" ht="63" customHeight="1" thickBot="1" x14ac:dyDescent="0.3">
      <c r="B2" s="121" t="s">
        <v>128</v>
      </c>
      <c r="C2" s="122"/>
      <c r="D2" s="122"/>
      <c r="E2" s="122"/>
      <c r="F2" s="122"/>
      <c r="G2" s="115" t="s">
        <v>206</v>
      </c>
      <c r="H2" s="114"/>
    </row>
    <row r="3" spans="2:8" ht="66" customHeight="1" thickBot="1" x14ac:dyDescent="0.3">
      <c r="B3" s="119" t="s">
        <v>125</v>
      </c>
      <c r="C3" s="27" t="s">
        <v>143</v>
      </c>
      <c r="D3" s="63"/>
      <c r="E3" s="27" t="s">
        <v>145</v>
      </c>
      <c r="F3" s="70"/>
      <c r="G3" s="27" t="s">
        <v>192</v>
      </c>
      <c r="H3" s="113"/>
    </row>
    <row r="4" spans="2:8" ht="72" customHeight="1" thickBot="1" x14ac:dyDescent="0.3">
      <c r="B4" s="120"/>
      <c r="C4" s="27" t="s">
        <v>146</v>
      </c>
      <c r="D4" s="116"/>
      <c r="E4" s="27" t="s">
        <v>144</v>
      </c>
      <c r="F4" s="117">
        <f>'Resumo_GQT-GQL'!D16</f>
        <v>0</v>
      </c>
      <c r="G4" s="27" t="s">
        <v>203</v>
      </c>
      <c r="H4" s="60">
        <f>Dotação_37.01[[#Totals],[VALOR MENSAL]]+Dotação_37.04[[#Totals],[VALOR MENSAL]]+Dotação_37.06[[#Totals],[VALOR MENSAL]]+Dotação_37.07[[#Totals],[VALOR MENSAL]]+Dotação_37.08[[#Totals],[VALOR MENSAL]]+Dotação_37.09[[#Totals],[VALOR MENSAL]]+dotação_37.02[[#Totals],[VALOR MENSAL]]</f>
        <v>0</v>
      </c>
    </row>
    <row r="1048252" spans="6:6" x14ac:dyDescent="0.25">
      <c r="F1048252" s="6"/>
    </row>
    <row r="1048253" spans="6:6" x14ac:dyDescent="0.25">
      <c r="F1048253" s="6"/>
    </row>
    <row r="1048254" spans="6:6" x14ac:dyDescent="0.25">
      <c r="F1048254" s="6"/>
    </row>
    <row r="1048255" spans="6:6" x14ac:dyDescent="0.25">
      <c r="F1048255" s="6"/>
    </row>
    <row r="1048256" spans="6:6" x14ac:dyDescent="0.25">
      <c r="F1048256" s="6"/>
    </row>
    <row r="1048257" spans="6:6" x14ac:dyDescent="0.25">
      <c r="F1048257" s="6"/>
    </row>
    <row r="1048258" spans="6:6" x14ac:dyDescent="0.25">
      <c r="F1048258" s="6"/>
    </row>
    <row r="1048259" spans="6:6" x14ac:dyDescent="0.25">
      <c r="F1048259" s="6"/>
    </row>
    <row r="1048260" spans="6:6" x14ac:dyDescent="0.25">
      <c r="F1048260" s="6"/>
    </row>
    <row r="1048261" spans="6:6" x14ac:dyDescent="0.25">
      <c r="F1048261" s="6"/>
    </row>
  </sheetData>
  <sheetProtection algorithmName="SHA-512" hashValue="Z2FGmp5arjfGMgCUQNh1DHOiHMyIC/5B0ZPafJL7/tqStwqPG9dQ2e14Zys1hTV3cv4QsGYpDpJZdZzbIIhfGw==" saltValue="kR8K/Sc5AL6EWKclO7UbMQ==" spinCount="100000" sheet="1" objects="1" scenarios="1"/>
  <mergeCells count="2">
    <mergeCell ref="B3:B4"/>
    <mergeCell ref="B2:F2"/>
  </mergeCells>
  <pageMargins left="0.511811024" right="0.511811024" top="0.78740157499999996" bottom="0.78740157499999996" header="0.31496062000000002" footer="0.31496062000000002"/>
  <pageSetup paperSize="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09BC5-18A3-4597-973D-D8683D71384C}">
  <sheetPr codeName="Planilha8"/>
  <dimension ref="B1:I16"/>
  <sheetViews>
    <sheetView showGridLines="0" tabSelected="1" zoomScaleNormal="100" workbookViewId="0">
      <selection activeCell="F16" sqref="F16"/>
    </sheetView>
  </sheetViews>
  <sheetFormatPr defaultRowHeight="15" x14ac:dyDescent="0.25"/>
  <cols>
    <col min="1" max="1" width="15" style="1" customWidth="1"/>
    <col min="2" max="2" width="71.28515625" style="1" customWidth="1"/>
    <col min="3" max="3" width="16.42578125" style="1" customWidth="1"/>
    <col min="4" max="4" width="12.5703125" style="1" hidden="1" customWidth="1"/>
    <col min="5" max="5" width="18.5703125" style="1" hidden="1" customWidth="1"/>
    <col min="6" max="6" width="20.140625" style="1" customWidth="1"/>
    <col min="7" max="7" width="22" style="1" customWidth="1"/>
    <col min="8" max="8" width="30.28515625" style="1" customWidth="1"/>
    <col min="9" max="9" width="27.42578125" style="1" customWidth="1"/>
    <col min="10" max="16384" width="9.140625" style="1"/>
  </cols>
  <sheetData>
    <row r="1" spans="2:9" ht="19.5" customHeight="1" thickBot="1" x14ac:dyDescent="0.3"/>
    <row r="2" spans="2:9" ht="25.5" customHeight="1" thickBot="1" x14ac:dyDescent="0.3">
      <c r="C2" s="146" t="s">
        <v>194</v>
      </c>
      <c r="D2" s="147"/>
      <c r="E2" s="147"/>
      <c r="F2" s="147"/>
      <c r="G2" s="148"/>
    </row>
    <row r="3" spans="2:9" ht="50.25" customHeight="1" thickBot="1" x14ac:dyDescent="0.3">
      <c r="C3" s="149" t="s">
        <v>151</v>
      </c>
      <c r="D3" s="150"/>
      <c r="E3" s="102"/>
      <c r="F3" s="112" t="s">
        <v>142</v>
      </c>
      <c r="G3" s="111" t="s">
        <v>147</v>
      </c>
    </row>
    <row r="4" spans="2:9" ht="33.75" customHeight="1" thickBot="1" x14ac:dyDescent="0.3">
      <c r="C4" s="151">
        <f>'Resumo_GQT-GQL'!$C$16</f>
        <v>0</v>
      </c>
      <c r="D4" s="152"/>
      <c r="E4" s="104"/>
      <c r="F4" s="103">
        <f>IF(C4&lt;=6,0,IF(C4&lt;=10,2%,IF(C4&lt;=15,4%,IF(C4&lt;=20,6%,IF(C4&lt;=25,8%,IF(C4&lt;=30,10%,IF(C4&lt;=40,15%,IF(C4&lt;=50,20%,25%))))))))</f>
        <v>0</v>
      </c>
      <c r="G4" s="66">
        <f>'Dados do Contrato'!H4*'Resumo_GQT-GQL'!F4</f>
        <v>0</v>
      </c>
    </row>
    <row r="5" spans="2:9" ht="15.75" thickBot="1" x14ac:dyDescent="0.3"/>
    <row r="6" spans="2:9" ht="30.75" customHeight="1" thickBot="1" x14ac:dyDescent="0.3">
      <c r="B6" s="146" t="s">
        <v>196</v>
      </c>
      <c r="C6" s="147"/>
      <c r="D6" s="147"/>
      <c r="E6" s="147"/>
      <c r="F6" s="148"/>
      <c r="G6" s="146" t="s">
        <v>197</v>
      </c>
      <c r="H6" s="148"/>
      <c r="I6" s="71" t="s">
        <v>202</v>
      </c>
    </row>
    <row r="7" spans="2:9" ht="22.5" customHeight="1" thickBot="1" x14ac:dyDescent="0.3">
      <c r="B7" s="112" t="s">
        <v>186</v>
      </c>
      <c r="C7" s="58" t="s">
        <v>190</v>
      </c>
      <c r="D7" s="131" t="s">
        <v>188</v>
      </c>
      <c r="E7" s="136" t="s">
        <v>193</v>
      </c>
      <c r="F7" s="137"/>
      <c r="G7" s="137"/>
      <c r="H7" s="138"/>
      <c r="I7" s="131" t="s">
        <v>199</v>
      </c>
    </row>
    <row r="8" spans="2:9" ht="21" customHeight="1" thickBot="1" x14ac:dyDescent="0.3">
      <c r="B8" s="74" t="str">
        <f>'Indicadores Gerais - 1 a 4'!B2:E2</f>
        <v>INDICADORES 1 A 4 - GERAIS</v>
      </c>
      <c r="C8" s="75">
        <f>'Indicadores Gerais - 1 a 4'!E54</f>
        <v>0</v>
      </c>
      <c r="D8" s="153"/>
      <c r="E8" s="76" t="s">
        <v>195</v>
      </c>
      <c r="F8" s="76" t="s">
        <v>200</v>
      </c>
      <c r="G8" s="76" t="s">
        <v>201</v>
      </c>
      <c r="H8" s="76" t="s">
        <v>204</v>
      </c>
      <c r="I8" s="132"/>
    </row>
    <row r="9" spans="2:9" ht="21" customHeight="1" x14ac:dyDescent="0.25">
      <c r="B9" s="77" t="str">
        <f>'Bloco 1 - Dot. Orçam. 37.01'!B4:E4</f>
        <v>BLOCO 1 - POSTOS COM DOTAÇÃO ORÇAMENTÁRIA: 3390-37.01 - LIMPEZA E CONSERVAÇÃO</v>
      </c>
      <c r="C9" s="78">
        <f>'Bloco 1 - Dot. Orçam. 37.01'!E77</f>
        <v>0</v>
      </c>
      <c r="D9" s="79">
        <f>'Bloco 1 - Dot. Orçam. 37.01'!D77</f>
        <v>0</v>
      </c>
      <c r="E9" s="80">
        <f t="shared" ref="E9:E15" si="0">IFERROR(D9/$D$16,0)</f>
        <v>0</v>
      </c>
      <c r="F9" s="81">
        <f t="shared" ref="F9:F15" si="1">$G$4*E9</f>
        <v>0</v>
      </c>
      <c r="G9" s="81">
        <f>Dotação_37.01[[#Totals],[GLOSA]]</f>
        <v>0</v>
      </c>
      <c r="H9" s="81">
        <f>G9+F9</f>
        <v>0</v>
      </c>
      <c r="I9" s="82">
        <f>Dotação_37.01[[#Totals],[VALOR MENSAL]]-'Resumo_GQT-GQL'!H9</f>
        <v>0</v>
      </c>
    </row>
    <row r="10" spans="2:9" ht="21" customHeight="1" x14ac:dyDescent="0.25">
      <c r="B10" s="83" t="str">
        <f>'Bloco 2 - Dot.Orçam. 37.04'!B4:F4</f>
        <v>BLOCO 2 - POSTOS COM DOTAÇÃO ORÇAMENTÁRIA: 3390-37.04 - COPA E PORTARIA</v>
      </c>
      <c r="C10" s="84">
        <f>'Bloco 2 - Dot.Orçam. 37.04'!E45</f>
        <v>0</v>
      </c>
      <c r="D10" s="85">
        <f>'Bloco 2 - Dot.Orçam. 37.04'!D45</f>
        <v>0</v>
      </c>
      <c r="E10" s="80">
        <f t="shared" si="0"/>
        <v>0</v>
      </c>
      <c r="F10" s="86">
        <f t="shared" si="1"/>
        <v>0</v>
      </c>
      <c r="G10" s="86">
        <f>Dotação_37.04[[#Totals],[GLOSA]]</f>
        <v>0</v>
      </c>
      <c r="H10" s="86">
        <f t="shared" ref="H10:H15" si="2">G10+F10</f>
        <v>0</v>
      </c>
      <c r="I10" s="86">
        <f>Dotação_37.04[[#Totals],[VALOR MENSAL]]-'Resumo_GQT-GQL'!H10</f>
        <v>0</v>
      </c>
    </row>
    <row r="11" spans="2:9" ht="21" customHeight="1" x14ac:dyDescent="0.25">
      <c r="B11" s="77" t="str">
        <f>'Bloco 3 - Dot. Orçam. 37.06'!B4:E4</f>
        <v>BLOCO 3 - POSTOS COM DOTAÇÃO ORÇAMENTÁRIA: 3390-37.06 - SERVIÇOS DE JARDINAGEM</v>
      </c>
      <c r="C11" s="78">
        <f>'Bloco 3 - Dot. Orçam. 37.06'!E16</f>
        <v>0</v>
      </c>
      <c r="D11" s="79">
        <f>'Bloco 3 - Dot. Orçam. 37.06'!D16</f>
        <v>0</v>
      </c>
      <c r="E11" s="80">
        <f t="shared" si="0"/>
        <v>0</v>
      </c>
      <c r="F11" s="81">
        <f t="shared" si="1"/>
        <v>0</v>
      </c>
      <c r="G11" s="81">
        <f>Dotação_37.06[[#Totals],[GLOSA]]</f>
        <v>0</v>
      </c>
      <c r="H11" s="81">
        <f t="shared" si="2"/>
        <v>0</v>
      </c>
      <c r="I11" s="81">
        <f>Dotação_37.06[[#Totals],[VALOR MENSAL]]-'Resumo_GQT-GQL'!H11</f>
        <v>0</v>
      </c>
    </row>
    <row r="12" spans="2:9" ht="21" customHeight="1" x14ac:dyDescent="0.25">
      <c r="B12" s="83" t="str">
        <f>'Bloco 4 - Dot. Orçam. 37.07'!B4:E4</f>
        <v>BLOCO 4 - POSTOS COM DOTAÇÃO ORÇAMENTÁRIA: 3390-37.07 - MANUTENÇÃO PREDIAL</v>
      </c>
      <c r="C12" s="84">
        <f>'Bloco 4 - Dot. Orçam. 37.07'!E16</f>
        <v>0</v>
      </c>
      <c r="D12" s="85">
        <f>'Bloco 4 - Dot. Orçam. 37.07'!D16</f>
        <v>0</v>
      </c>
      <c r="E12" s="80">
        <f t="shared" si="0"/>
        <v>0</v>
      </c>
      <c r="F12" s="86">
        <f t="shared" si="1"/>
        <v>0</v>
      </c>
      <c r="G12" s="86">
        <f>Dotação_37.07[[#Totals],[GLOSA]]</f>
        <v>0</v>
      </c>
      <c r="H12" s="86">
        <f t="shared" si="2"/>
        <v>0</v>
      </c>
      <c r="I12" s="86">
        <f>Dotação_37.07[[#Totals],[VALOR MENSAL]]*-'Resumo_GQT-GQL'!H12</f>
        <v>0</v>
      </c>
    </row>
    <row r="13" spans="2:9" ht="21" customHeight="1" x14ac:dyDescent="0.25">
      <c r="B13" s="77" t="str">
        <f>'Bloco 5 - Dot. Orçam. 37.08'!B4:F4</f>
        <v>BLOCO 5 - POSTOS COM DOTAÇÃO ORÇAMENTÁRIA: 3390-37.08 - OPERADORES DE MÁQUINAS</v>
      </c>
      <c r="C13" s="78">
        <f>'Bloco 5 - Dot. Orçam. 37.08'!E35</f>
        <v>0</v>
      </c>
      <c r="D13" s="79">
        <f>'Bloco 5 - Dot. Orçam. 37.08'!D35</f>
        <v>0</v>
      </c>
      <c r="E13" s="80">
        <f t="shared" si="0"/>
        <v>0</v>
      </c>
      <c r="F13" s="81">
        <f t="shared" si="1"/>
        <v>0</v>
      </c>
      <c r="G13" s="81">
        <f>Dotação_37.08[[#Totals],[GLOSA]]</f>
        <v>0</v>
      </c>
      <c r="H13" s="81">
        <f t="shared" si="2"/>
        <v>0</v>
      </c>
      <c r="I13" s="81">
        <f>Dotação_37.08[[#Totals],[VALOR MENSAL]]-'Resumo_GQT-GQL'!H13</f>
        <v>0</v>
      </c>
    </row>
    <row r="14" spans="2:9" ht="21" customHeight="1" x14ac:dyDescent="0.25">
      <c r="B14" s="83" t="str">
        <f>'Bloco 6 - Dot. Orçam. 37.09'!B4:F4</f>
        <v>BLOCO 6 - POSTOS COM DOTAÇÃO ORÇAMENTÁRIA: 3390-37.09 - TÉCNICO E OPERACIONAL</v>
      </c>
      <c r="C14" s="84">
        <f>'Bloco 6 - Dot. Orçam. 37.09'!E51</f>
        <v>0</v>
      </c>
      <c r="D14" s="85">
        <f>'Bloco 6 - Dot. Orçam. 37.09'!D51</f>
        <v>0</v>
      </c>
      <c r="E14" s="80">
        <f t="shared" si="0"/>
        <v>0</v>
      </c>
      <c r="F14" s="86">
        <f t="shared" si="1"/>
        <v>0</v>
      </c>
      <c r="G14" s="86">
        <f>Dotação_37.09[[#Totals],[GLOSA]]</f>
        <v>0</v>
      </c>
      <c r="H14" s="86">
        <f t="shared" si="2"/>
        <v>0</v>
      </c>
      <c r="I14" s="86">
        <f>Dotação_37.09[[#Totals],[VALOR MENSAL]]-'Resumo_GQT-GQL'!H14</f>
        <v>0</v>
      </c>
    </row>
    <row r="15" spans="2:9" ht="15" customHeight="1" x14ac:dyDescent="0.25">
      <c r="B15" s="77" t="str">
        <f>'Bloco 7 - Dot. Orçam. 37.02'!B4:E4</f>
        <v>BLOCO 7 - POSTOS COM DOTAÇÃO ORÇAMENTÁRIA: 3390-37.02 - VIGIAS FLORESTAIS</v>
      </c>
      <c r="C15" s="78">
        <f>'Bloco 7 - Dot. Orçam. 37.02'!E17</f>
        <v>0</v>
      </c>
      <c r="D15" s="79">
        <f>'Bloco 7 - Dot. Orçam. 37.02'!D17</f>
        <v>0</v>
      </c>
      <c r="E15" s="80">
        <f t="shared" si="0"/>
        <v>0</v>
      </c>
      <c r="F15" s="81">
        <f t="shared" si="1"/>
        <v>0</v>
      </c>
      <c r="G15" s="81">
        <f>dotação_37.02[[#Totals],[GLOSA]]</f>
        <v>0</v>
      </c>
      <c r="H15" s="81">
        <f t="shared" si="2"/>
        <v>0</v>
      </c>
      <c r="I15" s="81">
        <f>dotação_37.02[[#Totals],[VALOR MENSAL]]-'Resumo_GQT-GQL'!H15</f>
        <v>0</v>
      </c>
    </row>
    <row r="16" spans="2:9" ht="18" thickBot="1" x14ac:dyDescent="0.3">
      <c r="B16" s="87" t="s">
        <v>127</v>
      </c>
      <c r="C16" s="88">
        <f>SUM(C8:C15)</f>
        <v>0</v>
      </c>
      <c r="D16" s="89">
        <f>SUBTOTAL(109,D9:D15)</f>
        <v>0</v>
      </c>
      <c r="E16" s="90">
        <f>SUM(E8:E15)</f>
        <v>0</v>
      </c>
      <c r="F16" s="91">
        <f>SUM(F9:F15)</f>
        <v>0</v>
      </c>
      <c r="G16" s="91">
        <f>SUM(G9:G15)</f>
        <v>0</v>
      </c>
      <c r="H16" s="91">
        <f>SUM(H9:H15)</f>
        <v>0</v>
      </c>
      <c r="I16" s="91">
        <f>SUM(I9:I15)</f>
        <v>0</v>
      </c>
    </row>
  </sheetData>
  <sheetProtection algorithmName="SHA-512" hashValue="fVc6QxwjYgP5fbQQwOXZmq1JNEEAmUzuNVTlo6ZnowgEoX6rxJfMHA0gY9/dRBCgmR4njtpn8zHFjhpbkeqP/A==" saltValue="wd0N/AiJDzqogkQdBO91dQ==" spinCount="100000" sheet="1" objects="1" scenarios="1"/>
  <mergeCells count="8">
    <mergeCell ref="C2:G2"/>
    <mergeCell ref="I7:I8"/>
    <mergeCell ref="B6:F6"/>
    <mergeCell ref="C3:D3"/>
    <mergeCell ref="C4:D4"/>
    <mergeCell ref="G6:H6"/>
    <mergeCell ref="E7:H7"/>
    <mergeCell ref="D7:D8"/>
  </mergeCells>
  <pageMargins left="0.511811024" right="0.511811024" top="0.78740157499999996" bottom="0.78740157499999996" header="0.31496062000000002" footer="0.31496062000000002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2578-B12C-443C-BE09-4028B03F1056}">
  <sheetPr codeName="Planilha2"/>
  <dimension ref="B1:H54"/>
  <sheetViews>
    <sheetView showGridLines="0" zoomScaleNormal="100" workbookViewId="0"/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.5703125" style="3" customWidth="1"/>
    <col min="6" max="7" width="9.140625" style="1"/>
    <col min="8" max="8" width="18.28515625" style="1" customWidth="1"/>
    <col min="9" max="16384" width="9.140625" style="1"/>
  </cols>
  <sheetData>
    <row r="1" spans="2:5" ht="11.25" customHeight="1" thickBot="1" x14ac:dyDescent="0.3">
      <c r="B1" s="1"/>
      <c r="C1" s="1"/>
      <c r="E1" s="1"/>
    </row>
    <row r="2" spans="2:5" ht="33" customHeight="1" thickBot="1" x14ac:dyDescent="0.3">
      <c r="B2" s="125" t="s">
        <v>187</v>
      </c>
      <c r="C2" s="126"/>
      <c r="D2" s="126"/>
      <c r="E2" s="127"/>
    </row>
    <row r="3" spans="2:5" ht="13.5" customHeight="1" thickBot="1" x14ac:dyDescent="0.3">
      <c r="B3" s="1"/>
      <c r="C3" s="1"/>
      <c r="E3" s="1"/>
    </row>
    <row r="4" spans="2:5" ht="26.25" customHeight="1" thickBot="1" x14ac:dyDescent="0.3">
      <c r="B4" s="128" t="s">
        <v>7</v>
      </c>
      <c r="C4" s="129"/>
      <c r="D4" s="129"/>
      <c r="E4" s="130"/>
    </row>
    <row r="5" spans="2:5" s="10" customFormat="1" ht="32.25" customHeight="1" thickBot="1" x14ac:dyDescent="0.3">
      <c r="B5" s="93" t="s">
        <v>0</v>
      </c>
      <c r="C5" s="93" t="s">
        <v>5</v>
      </c>
      <c r="D5" s="93" t="s">
        <v>205</v>
      </c>
      <c r="E5" s="94" t="s">
        <v>1</v>
      </c>
    </row>
    <row r="6" spans="2:5" ht="33.75" customHeight="1" x14ac:dyDescent="0.25">
      <c r="B6" s="95" t="s">
        <v>8</v>
      </c>
      <c r="C6" s="96">
        <v>1</v>
      </c>
      <c r="D6" s="101"/>
      <c r="E6" s="7">
        <f t="shared" ref="E6:E11" si="0">D6*C6</f>
        <v>0</v>
      </c>
    </row>
    <row r="7" spans="2:5" ht="33.75" customHeight="1" x14ac:dyDescent="0.25">
      <c r="B7" s="97" t="s">
        <v>12</v>
      </c>
      <c r="C7" s="98">
        <v>1</v>
      </c>
      <c r="D7" s="73"/>
      <c r="E7" s="8">
        <f t="shared" si="0"/>
        <v>0</v>
      </c>
    </row>
    <row r="8" spans="2:5" ht="33.75" customHeight="1" x14ac:dyDescent="0.25">
      <c r="B8" s="97" t="s">
        <v>9</v>
      </c>
      <c r="C8" s="98">
        <v>1</v>
      </c>
      <c r="D8" s="73"/>
      <c r="E8" s="8">
        <f t="shared" si="0"/>
        <v>0</v>
      </c>
    </row>
    <row r="9" spans="2:5" ht="33.75" customHeight="1" x14ac:dyDescent="0.25">
      <c r="B9" s="97" t="s">
        <v>13</v>
      </c>
      <c r="C9" s="98">
        <v>1</v>
      </c>
      <c r="D9" s="73"/>
      <c r="E9" s="8">
        <f t="shared" si="0"/>
        <v>0</v>
      </c>
    </row>
    <row r="10" spans="2:5" ht="33.75" customHeight="1" x14ac:dyDescent="0.25">
      <c r="B10" s="97" t="s">
        <v>10</v>
      </c>
      <c r="C10" s="98">
        <v>1</v>
      </c>
      <c r="D10" s="73"/>
      <c r="E10" s="8">
        <f t="shared" si="0"/>
        <v>0</v>
      </c>
    </row>
    <row r="11" spans="2:5" ht="33.75" customHeight="1" thickBot="1" x14ac:dyDescent="0.3">
      <c r="B11" s="99" t="s">
        <v>11</v>
      </c>
      <c r="C11" s="100">
        <v>1</v>
      </c>
      <c r="D11" s="72"/>
      <c r="E11" s="9">
        <f t="shared" si="0"/>
        <v>0</v>
      </c>
    </row>
    <row r="12" spans="2:5" ht="19.5" customHeight="1" thickBot="1" x14ac:dyDescent="0.3">
      <c r="B12" s="10"/>
      <c r="C12" s="10"/>
      <c r="D12" s="10"/>
      <c r="E12" s="10"/>
    </row>
    <row r="13" spans="2:5" ht="27.75" customHeight="1" thickBot="1" x14ac:dyDescent="0.3">
      <c r="B13" s="128" t="s">
        <v>14</v>
      </c>
      <c r="C13" s="129"/>
      <c r="D13" s="129"/>
      <c r="E13" s="130"/>
    </row>
    <row r="14" spans="2:5" s="10" customFormat="1" ht="33" customHeight="1" thickBot="1" x14ac:dyDescent="0.3">
      <c r="B14" s="107" t="s">
        <v>0</v>
      </c>
      <c r="C14" s="64" t="s">
        <v>5</v>
      </c>
      <c r="D14" s="93" t="s">
        <v>205</v>
      </c>
      <c r="E14" s="64" t="s">
        <v>1</v>
      </c>
    </row>
    <row r="15" spans="2:5" ht="31.5" customHeight="1" x14ac:dyDescent="0.25">
      <c r="B15" s="17" t="s">
        <v>15</v>
      </c>
      <c r="C15" s="11">
        <v>2</v>
      </c>
      <c r="D15" s="16"/>
      <c r="E15" s="7">
        <f t="shared" ref="E15:E24" si="1">D15*C15</f>
        <v>0</v>
      </c>
    </row>
    <row r="16" spans="2:5" ht="31.5" customHeight="1" x14ac:dyDescent="0.25">
      <c r="B16" s="18" t="s">
        <v>16</v>
      </c>
      <c r="C16" s="12">
        <v>2</v>
      </c>
      <c r="D16" s="14"/>
      <c r="E16" s="8">
        <f t="shared" si="1"/>
        <v>0</v>
      </c>
    </row>
    <row r="17" spans="2:5" ht="31.5" customHeight="1" x14ac:dyDescent="0.25">
      <c r="B17" s="18" t="s">
        <v>17</v>
      </c>
      <c r="C17" s="12">
        <v>1</v>
      </c>
      <c r="D17" s="14"/>
      <c r="E17" s="8">
        <f t="shared" si="1"/>
        <v>0</v>
      </c>
    </row>
    <row r="18" spans="2:5" ht="31.5" customHeight="1" x14ac:dyDescent="0.25">
      <c r="B18" s="18" t="s">
        <v>18</v>
      </c>
      <c r="C18" s="12">
        <v>1</v>
      </c>
      <c r="D18" s="14"/>
      <c r="E18" s="8">
        <f t="shared" si="1"/>
        <v>0</v>
      </c>
    </row>
    <row r="19" spans="2:5" ht="31.5" customHeight="1" x14ac:dyDescent="0.25">
      <c r="B19" s="18" t="s">
        <v>19</v>
      </c>
      <c r="C19" s="12">
        <v>4</v>
      </c>
      <c r="D19" s="14"/>
      <c r="E19" s="8">
        <f t="shared" si="1"/>
        <v>0</v>
      </c>
    </row>
    <row r="20" spans="2:5" ht="31.5" customHeight="1" x14ac:dyDescent="0.25">
      <c r="B20" s="18" t="s">
        <v>20</v>
      </c>
      <c r="C20" s="12">
        <v>4</v>
      </c>
      <c r="D20" s="14"/>
      <c r="E20" s="8">
        <f t="shared" si="1"/>
        <v>0</v>
      </c>
    </row>
    <row r="21" spans="2:5" ht="49.5" customHeight="1" x14ac:dyDescent="0.25">
      <c r="B21" s="18" t="s">
        <v>21</v>
      </c>
      <c r="C21" s="12">
        <v>4</v>
      </c>
      <c r="D21" s="14"/>
      <c r="E21" s="8">
        <f t="shared" si="1"/>
        <v>0</v>
      </c>
    </row>
    <row r="22" spans="2:5" ht="32.25" customHeight="1" x14ac:dyDescent="0.25">
      <c r="B22" s="18" t="s">
        <v>22</v>
      </c>
      <c r="C22" s="12">
        <v>2</v>
      </c>
      <c r="D22" s="14"/>
      <c r="E22" s="8">
        <f t="shared" si="1"/>
        <v>0</v>
      </c>
    </row>
    <row r="23" spans="2:5" ht="32.25" customHeight="1" x14ac:dyDescent="0.25">
      <c r="B23" s="18" t="s">
        <v>23</v>
      </c>
      <c r="C23" s="12">
        <v>2</v>
      </c>
      <c r="D23" s="14"/>
      <c r="E23" s="8">
        <f t="shared" si="1"/>
        <v>0</v>
      </c>
    </row>
    <row r="24" spans="2:5" ht="32.25" customHeight="1" thickBot="1" x14ac:dyDescent="0.3">
      <c r="B24" s="19" t="s">
        <v>24</v>
      </c>
      <c r="C24" s="13">
        <v>2</v>
      </c>
      <c r="D24" s="15"/>
      <c r="E24" s="9">
        <f t="shared" si="1"/>
        <v>0</v>
      </c>
    </row>
    <row r="25" spans="2:5" ht="16.5" customHeight="1" thickBot="1" x14ac:dyDescent="0.3">
      <c r="B25" s="10"/>
      <c r="C25" s="10"/>
      <c r="D25" s="10"/>
      <c r="E25" s="10"/>
    </row>
    <row r="26" spans="2:5" ht="28.5" customHeight="1" thickBot="1" x14ac:dyDescent="0.3">
      <c r="B26" s="128" t="s">
        <v>25</v>
      </c>
      <c r="C26" s="129"/>
      <c r="D26" s="129"/>
      <c r="E26" s="130"/>
    </row>
    <row r="27" spans="2:5" s="10" customFormat="1" ht="31.5" customHeight="1" thickBot="1" x14ac:dyDescent="0.3">
      <c r="B27" s="107" t="s">
        <v>0</v>
      </c>
      <c r="C27" s="64" t="s">
        <v>5</v>
      </c>
      <c r="D27" s="93" t="s">
        <v>205</v>
      </c>
      <c r="E27" s="64" t="s">
        <v>1</v>
      </c>
    </row>
    <row r="28" spans="2:5" ht="56.25" customHeight="1" x14ac:dyDescent="0.25">
      <c r="B28" s="17" t="s">
        <v>26</v>
      </c>
      <c r="C28" s="11">
        <v>5</v>
      </c>
      <c r="D28" s="16"/>
      <c r="E28" s="7">
        <f t="shared" ref="E28:E39" si="2">D28*C28</f>
        <v>0</v>
      </c>
    </row>
    <row r="29" spans="2:5" ht="56.25" customHeight="1" x14ac:dyDescent="0.25">
      <c r="B29" s="18" t="s">
        <v>27</v>
      </c>
      <c r="C29" s="12">
        <v>2</v>
      </c>
      <c r="D29" s="14"/>
      <c r="E29" s="8">
        <f t="shared" si="2"/>
        <v>0</v>
      </c>
    </row>
    <row r="30" spans="2:5" ht="56.25" customHeight="1" x14ac:dyDescent="0.25">
      <c r="B30" s="18" t="s">
        <v>28</v>
      </c>
      <c r="C30" s="12">
        <v>2</v>
      </c>
      <c r="D30" s="14"/>
      <c r="E30" s="8">
        <f t="shared" si="2"/>
        <v>0</v>
      </c>
    </row>
    <row r="31" spans="2:5" ht="33" customHeight="1" x14ac:dyDescent="0.25">
      <c r="B31" s="18" t="s">
        <v>29</v>
      </c>
      <c r="C31" s="12">
        <v>1</v>
      </c>
      <c r="D31" s="14"/>
      <c r="E31" s="8">
        <f t="shared" si="2"/>
        <v>0</v>
      </c>
    </row>
    <row r="32" spans="2:5" ht="49.5" customHeight="1" x14ac:dyDescent="0.25">
      <c r="B32" s="18" t="s">
        <v>30</v>
      </c>
      <c r="C32" s="12">
        <v>3</v>
      </c>
      <c r="D32" s="14"/>
      <c r="E32" s="8">
        <f t="shared" si="2"/>
        <v>0</v>
      </c>
    </row>
    <row r="33" spans="2:8" ht="34.5" customHeight="1" x14ac:dyDescent="0.25">
      <c r="B33" s="18" t="s">
        <v>31</v>
      </c>
      <c r="C33" s="12">
        <v>3</v>
      </c>
      <c r="D33" s="14"/>
      <c r="E33" s="8">
        <f t="shared" si="2"/>
        <v>0</v>
      </c>
    </row>
    <row r="34" spans="2:8" ht="49.5" customHeight="1" x14ac:dyDescent="0.25">
      <c r="B34" s="18" t="s">
        <v>32</v>
      </c>
      <c r="C34" s="12">
        <v>1</v>
      </c>
      <c r="D34" s="14"/>
      <c r="E34" s="8">
        <f t="shared" si="2"/>
        <v>0</v>
      </c>
    </row>
    <row r="35" spans="2:8" ht="27.75" customHeight="1" x14ac:dyDescent="0.25">
      <c r="B35" s="18" t="s">
        <v>33</v>
      </c>
      <c r="C35" s="12">
        <v>3</v>
      </c>
      <c r="D35" s="14"/>
      <c r="E35" s="8">
        <f t="shared" si="2"/>
        <v>0</v>
      </c>
    </row>
    <row r="36" spans="2:8" ht="36" customHeight="1" x14ac:dyDescent="0.25">
      <c r="B36" s="18" t="s">
        <v>34</v>
      </c>
      <c r="C36" s="12">
        <v>4</v>
      </c>
      <c r="D36" s="14"/>
      <c r="E36" s="8">
        <f t="shared" si="2"/>
        <v>0</v>
      </c>
    </row>
    <row r="37" spans="2:8" ht="30" customHeight="1" x14ac:dyDescent="0.25">
      <c r="B37" s="18" t="s">
        <v>35</v>
      </c>
      <c r="C37" s="12">
        <v>2</v>
      </c>
      <c r="D37" s="14"/>
      <c r="E37" s="8">
        <f t="shared" si="2"/>
        <v>0</v>
      </c>
    </row>
    <row r="38" spans="2:8" s="3" customFormat="1" ht="30" customHeight="1" x14ac:dyDescent="0.25">
      <c r="B38" s="18" t="s">
        <v>36</v>
      </c>
      <c r="C38" s="12">
        <v>2</v>
      </c>
      <c r="D38" s="14"/>
      <c r="E38" s="8">
        <f t="shared" si="2"/>
        <v>0</v>
      </c>
      <c r="F38" s="1"/>
      <c r="G38" s="1"/>
      <c r="H38" s="1"/>
    </row>
    <row r="39" spans="2:8" s="3" customFormat="1" ht="30" customHeight="1" thickBot="1" x14ac:dyDescent="0.3">
      <c r="B39" s="19" t="s">
        <v>37</v>
      </c>
      <c r="C39" s="13">
        <v>2</v>
      </c>
      <c r="D39" s="15"/>
      <c r="E39" s="9">
        <f t="shared" si="2"/>
        <v>0</v>
      </c>
      <c r="F39" s="1"/>
      <c r="G39" s="1"/>
      <c r="H39" s="1"/>
    </row>
    <row r="40" spans="2:8" ht="18" customHeight="1" thickBot="1" x14ac:dyDescent="0.3">
      <c r="B40" s="10"/>
      <c r="C40" s="10"/>
      <c r="D40" s="10"/>
      <c r="E40" s="10"/>
    </row>
    <row r="41" spans="2:8" ht="27.75" customHeight="1" thickBot="1" x14ac:dyDescent="0.3">
      <c r="B41" s="128" t="s">
        <v>38</v>
      </c>
      <c r="C41" s="129"/>
      <c r="D41" s="129"/>
      <c r="E41" s="130"/>
    </row>
    <row r="42" spans="2:8" s="10" customFormat="1" ht="32.25" customHeight="1" thickBot="1" x14ac:dyDescent="0.3">
      <c r="B42" s="107" t="s">
        <v>0</v>
      </c>
      <c r="C42" s="64" t="s">
        <v>5</v>
      </c>
      <c r="D42" s="93" t="s">
        <v>205</v>
      </c>
      <c r="E42" s="64" t="s">
        <v>1</v>
      </c>
    </row>
    <row r="43" spans="2:8" ht="29.25" customHeight="1" x14ac:dyDescent="0.25">
      <c r="B43" s="17" t="s">
        <v>39</v>
      </c>
      <c r="C43" s="11">
        <v>2</v>
      </c>
      <c r="D43" s="16"/>
      <c r="E43" s="7">
        <f t="shared" ref="E43:E52" si="3">D43*C43</f>
        <v>0</v>
      </c>
    </row>
    <row r="44" spans="2:8" ht="29.25" customHeight="1" x14ac:dyDescent="0.25">
      <c r="B44" s="18" t="s">
        <v>40</v>
      </c>
      <c r="C44" s="12">
        <v>1</v>
      </c>
      <c r="D44" s="14"/>
      <c r="E44" s="8">
        <f t="shared" si="3"/>
        <v>0</v>
      </c>
    </row>
    <row r="45" spans="2:8" ht="29.25" customHeight="1" x14ac:dyDescent="0.25">
      <c r="B45" s="18" t="s">
        <v>41</v>
      </c>
      <c r="C45" s="12">
        <v>1</v>
      </c>
      <c r="D45" s="14"/>
      <c r="E45" s="8">
        <f t="shared" si="3"/>
        <v>0</v>
      </c>
    </row>
    <row r="46" spans="2:8" ht="29.25" customHeight="1" x14ac:dyDescent="0.25">
      <c r="B46" s="18" t="s">
        <v>42</v>
      </c>
      <c r="C46" s="12">
        <v>1</v>
      </c>
      <c r="D46" s="14"/>
      <c r="E46" s="8">
        <f t="shared" si="3"/>
        <v>0</v>
      </c>
    </row>
    <row r="47" spans="2:8" ht="29.25" customHeight="1" x14ac:dyDescent="0.25">
      <c r="B47" s="18" t="s">
        <v>43</v>
      </c>
      <c r="C47" s="12">
        <v>1</v>
      </c>
      <c r="D47" s="14"/>
      <c r="E47" s="8">
        <f t="shared" si="3"/>
        <v>0</v>
      </c>
    </row>
    <row r="48" spans="2:8" ht="29.25" customHeight="1" x14ac:dyDescent="0.25">
      <c r="B48" s="18" t="s">
        <v>44</v>
      </c>
      <c r="C48" s="12">
        <v>1</v>
      </c>
      <c r="D48" s="14"/>
      <c r="E48" s="8">
        <f t="shared" si="3"/>
        <v>0</v>
      </c>
    </row>
    <row r="49" spans="2:8" ht="29.25" customHeight="1" x14ac:dyDescent="0.25">
      <c r="B49" s="18" t="s">
        <v>45</v>
      </c>
      <c r="C49" s="12">
        <v>1</v>
      </c>
      <c r="D49" s="14"/>
      <c r="E49" s="8">
        <f t="shared" si="3"/>
        <v>0</v>
      </c>
    </row>
    <row r="50" spans="2:8" ht="29.25" customHeight="1" x14ac:dyDescent="0.25">
      <c r="B50" s="18" t="s">
        <v>46</v>
      </c>
      <c r="C50" s="12">
        <v>1</v>
      </c>
      <c r="D50" s="14"/>
      <c r="E50" s="8">
        <f t="shared" si="3"/>
        <v>0</v>
      </c>
    </row>
    <row r="51" spans="2:8" ht="29.25" customHeight="1" x14ac:dyDescent="0.25">
      <c r="B51" s="18" t="s">
        <v>47</v>
      </c>
      <c r="C51" s="12">
        <v>2</v>
      </c>
      <c r="D51" s="14"/>
      <c r="E51" s="8">
        <f t="shared" si="3"/>
        <v>0</v>
      </c>
    </row>
    <row r="52" spans="2:8" ht="29.25" customHeight="1" x14ac:dyDescent="0.25">
      <c r="B52" s="18" t="s">
        <v>48</v>
      </c>
      <c r="C52" s="12">
        <v>3</v>
      </c>
      <c r="D52" s="14"/>
      <c r="E52" s="8">
        <f t="shared" si="3"/>
        <v>0</v>
      </c>
    </row>
    <row r="53" spans="2:8" s="3" customFormat="1" ht="8.25" customHeight="1" thickBot="1" x14ac:dyDescent="0.3">
      <c r="B53" s="4"/>
      <c r="C53" s="5"/>
      <c r="D53" s="1"/>
      <c r="F53" s="1"/>
      <c r="G53" s="1"/>
      <c r="H53" s="1"/>
    </row>
    <row r="54" spans="2:8" s="3" customFormat="1" ht="45.75" customHeight="1" thickBot="1" x14ac:dyDescent="0.3">
      <c r="B54" s="123" t="s">
        <v>60</v>
      </c>
      <c r="C54" s="124"/>
      <c r="D54" s="124"/>
      <c r="E54" s="64">
        <f>SUM(E6:E53)</f>
        <v>0</v>
      </c>
      <c r="F54" s="1"/>
      <c r="G54" s="1"/>
      <c r="H54" s="1"/>
    </row>
  </sheetData>
  <mergeCells count="6">
    <mergeCell ref="B54:D54"/>
    <mergeCell ref="B2:E2"/>
    <mergeCell ref="B13:E13"/>
    <mergeCell ref="B4:E4"/>
    <mergeCell ref="B26:E26"/>
    <mergeCell ref="B41:E41"/>
  </mergeCells>
  <pageMargins left="0.511811024" right="0.511811024" top="0.78740157499999996" bottom="0.78740157499999996" header="0.31496062000000002" footer="0.31496062000000002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8DBDC-3EC5-49E6-B7FA-CDBF49B19CBD}">
  <sheetPr codeName="Planilha3"/>
  <dimension ref="B1:M108"/>
  <sheetViews>
    <sheetView showGridLines="0" topLeftCell="A75" zoomScale="85" zoomScaleNormal="85" workbookViewId="0">
      <selection activeCell="M100" sqref="M100"/>
    </sheetView>
  </sheetViews>
  <sheetFormatPr defaultRowHeight="15" x14ac:dyDescent="0.25"/>
  <cols>
    <col min="1" max="1" width="9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8.7109375" style="1" customWidth="1"/>
    <col min="8" max="8" width="10" style="1" hidden="1" customWidth="1"/>
    <col min="9" max="10" width="10" style="1" customWidth="1"/>
    <col min="11" max="11" width="10.7109375" style="1" customWidth="1"/>
    <col min="12" max="12" width="19.28515625" style="1" customWidth="1"/>
    <col min="13" max="13" width="21.140625" style="1" customWidth="1"/>
    <col min="14" max="16384" width="9.140625" style="1"/>
  </cols>
  <sheetData>
    <row r="1" spans="2:5" ht="11.25" customHeight="1" thickBot="1" x14ac:dyDescent="0.3"/>
    <row r="2" spans="2:5" ht="33" customHeight="1" thickBot="1" x14ac:dyDescent="0.3">
      <c r="B2" s="125" t="s">
        <v>155</v>
      </c>
      <c r="C2" s="126"/>
      <c r="D2" s="126"/>
      <c r="E2" s="127"/>
    </row>
    <row r="3" spans="2:5" ht="9.75" customHeight="1" thickBot="1" x14ac:dyDescent="0.3">
      <c r="B3" s="1"/>
      <c r="C3" s="1"/>
      <c r="E3" s="1"/>
    </row>
    <row r="4" spans="2:5" ht="26.25" customHeight="1" thickBot="1" x14ac:dyDescent="0.3">
      <c r="B4" s="143" t="s">
        <v>179</v>
      </c>
      <c r="C4" s="144"/>
      <c r="D4" s="144"/>
      <c r="E4" s="145"/>
    </row>
    <row r="5" spans="2:5" ht="9.75" customHeight="1" thickBot="1" x14ac:dyDescent="0.3">
      <c r="B5" s="1"/>
      <c r="C5" s="1"/>
      <c r="E5" s="1"/>
    </row>
    <row r="6" spans="2:5" ht="34.5" customHeight="1" thickBot="1" x14ac:dyDescent="0.3">
      <c r="B6" s="128" t="s">
        <v>152</v>
      </c>
      <c r="C6" s="130"/>
      <c r="D6" s="92" t="s">
        <v>176</v>
      </c>
      <c r="E6" s="110"/>
    </row>
    <row r="7" spans="2:5" s="10" customFormat="1" ht="38.25" customHeight="1" thickBot="1" x14ac:dyDescent="0.3">
      <c r="B7" s="108" t="s">
        <v>0</v>
      </c>
      <c r="C7" s="28" t="s">
        <v>5</v>
      </c>
      <c r="D7" s="59" t="s">
        <v>205</v>
      </c>
      <c r="E7" s="28" t="s">
        <v>1</v>
      </c>
    </row>
    <row r="8" spans="2:5" ht="31.5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5" ht="31.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5" ht="31.5" customHeight="1" x14ac:dyDescent="0.25">
      <c r="B10" s="18" t="s">
        <v>51</v>
      </c>
      <c r="C10" s="12">
        <v>2</v>
      </c>
      <c r="D10" s="14"/>
      <c r="E10" s="8">
        <f t="shared" si="0"/>
        <v>0</v>
      </c>
    </row>
    <row r="11" spans="2:5" ht="31.5" customHeight="1" x14ac:dyDescent="0.25">
      <c r="B11" s="18" t="s">
        <v>52</v>
      </c>
      <c r="C11" s="12">
        <v>2</v>
      </c>
      <c r="D11" s="14"/>
      <c r="E11" s="8">
        <f t="shared" si="0"/>
        <v>0</v>
      </c>
    </row>
    <row r="12" spans="2:5" ht="31.5" customHeight="1" x14ac:dyDescent="0.25">
      <c r="B12" s="18" t="s">
        <v>53</v>
      </c>
      <c r="C12" s="12">
        <v>2</v>
      </c>
      <c r="D12" s="14"/>
      <c r="E12" s="8">
        <f t="shared" si="0"/>
        <v>0</v>
      </c>
    </row>
    <row r="13" spans="2:5" ht="31.5" customHeight="1" thickBot="1" x14ac:dyDescent="0.3">
      <c r="B13" s="48" t="s">
        <v>54</v>
      </c>
      <c r="C13" s="49">
        <v>2</v>
      </c>
      <c r="D13" s="50"/>
      <c r="E13" s="9">
        <f t="shared" si="0"/>
        <v>0</v>
      </c>
    </row>
    <row r="14" spans="2:5" ht="34.5" customHeight="1" thickBot="1" x14ac:dyDescent="0.3">
      <c r="B14" s="51"/>
      <c r="C14" s="52"/>
      <c r="D14" s="53" t="s">
        <v>150</v>
      </c>
      <c r="E14" s="47">
        <f>SUBTOTAL(109,ENCARREGADOS[PONTOS])</f>
        <v>0</v>
      </c>
    </row>
    <row r="15" spans="2:5" ht="15.75" customHeight="1" thickBot="1" x14ac:dyDescent="0.3"/>
    <row r="16" spans="2:5" s="10" customFormat="1" ht="35.25" customHeight="1" thickBot="1" x14ac:dyDescent="0.3">
      <c r="B16" s="128" t="s">
        <v>153</v>
      </c>
      <c r="C16" s="130"/>
      <c r="D16" s="92" t="s">
        <v>176</v>
      </c>
      <c r="E16" s="110"/>
    </row>
    <row r="17" spans="2:5" ht="34.5" customHeight="1" thickBot="1" x14ac:dyDescent="0.3">
      <c r="B17" s="108" t="s">
        <v>0</v>
      </c>
      <c r="C17" s="28" t="s">
        <v>5</v>
      </c>
      <c r="D17" s="59" t="s">
        <v>205</v>
      </c>
      <c r="E17" s="28" t="s">
        <v>1</v>
      </c>
    </row>
    <row r="18" spans="2:5" ht="36" customHeight="1" x14ac:dyDescent="0.25">
      <c r="B18" s="17" t="s">
        <v>49</v>
      </c>
      <c r="C18" s="11">
        <v>1</v>
      </c>
      <c r="D18" s="16"/>
      <c r="E18" s="7">
        <f t="shared" ref="E18:E24" si="1">C18*D18</f>
        <v>0</v>
      </c>
    </row>
    <row r="19" spans="2:5" ht="36" customHeight="1" x14ac:dyDescent="0.25">
      <c r="B19" s="18" t="s">
        <v>50</v>
      </c>
      <c r="C19" s="12">
        <v>1</v>
      </c>
      <c r="D19" s="14"/>
      <c r="E19" s="8">
        <f t="shared" si="1"/>
        <v>0</v>
      </c>
    </row>
    <row r="20" spans="2:5" ht="36" customHeight="1" x14ac:dyDescent="0.25">
      <c r="B20" s="18" t="s">
        <v>55</v>
      </c>
      <c r="C20" s="12">
        <v>2</v>
      </c>
      <c r="D20" s="14"/>
      <c r="E20" s="8">
        <f t="shared" si="1"/>
        <v>0</v>
      </c>
    </row>
    <row r="21" spans="2:5" ht="21.75" customHeight="1" x14ac:dyDescent="0.25">
      <c r="B21" s="18" t="s">
        <v>56</v>
      </c>
      <c r="C21" s="12">
        <v>2</v>
      </c>
      <c r="D21" s="14"/>
      <c r="E21" s="8">
        <f t="shared" si="1"/>
        <v>0</v>
      </c>
    </row>
    <row r="22" spans="2:5" ht="24" customHeight="1" x14ac:dyDescent="0.25">
      <c r="B22" s="18" t="s">
        <v>57</v>
      </c>
      <c r="C22" s="12">
        <v>2</v>
      </c>
      <c r="D22" s="14"/>
      <c r="E22" s="8">
        <f t="shared" si="1"/>
        <v>0</v>
      </c>
    </row>
    <row r="23" spans="2:5" ht="25.5" customHeight="1" x14ac:dyDescent="0.25">
      <c r="B23" s="18" t="s">
        <v>58</v>
      </c>
      <c r="C23" s="12">
        <v>2</v>
      </c>
      <c r="D23" s="14"/>
      <c r="E23" s="8">
        <f t="shared" si="1"/>
        <v>0</v>
      </c>
    </row>
    <row r="24" spans="2:5" ht="36.75" customHeight="1" thickBot="1" x14ac:dyDescent="0.3">
      <c r="B24" s="19" t="s">
        <v>59</v>
      </c>
      <c r="C24" s="13">
        <v>2</v>
      </c>
      <c r="D24" s="15"/>
      <c r="E24" s="9">
        <f t="shared" si="1"/>
        <v>0</v>
      </c>
    </row>
    <row r="25" spans="2:5" ht="36.75" customHeight="1" thickBot="1" x14ac:dyDescent="0.3">
      <c r="B25" s="51"/>
      <c r="C25" s="52"/>
      <c r="D25" s="53" t="s">
        <v>150</v>
      </c>
      <c r="E25" s="47">
        <f>SUBTOTAL(109,AUX_SERV_GERAIS[PONTOS])</f>
        <v>0</v>
      </c>
    </row>
    <row r="26" spans="2:5" s="10" customFormat="1" ht="20.25" customHeight="1" thickBot="1" x14ac:dyDescent="0.3">
      <c r="B26" s="4"/>
      <c r="C26" s="5"/>
      <c r="D26" s="1"/>
      <c r="E26" s="3"/>
    </row>
    <row r="27" spans="2:5" ht="32.25" customHeight="1" thickBot="1" x14ac:dyDescent="0.3">
      <c r="B27" s="128" t="s">
        <v>154</v>
      </c>
      <c r="C27" s="130"/>
      <c r="D27" s="92" t="s">
        <v>176</v>
      </c>
      <c r="E27" s="110"/>
    </row>
    <row r="28" spans="2:5" ht="28.5" customHeight="1" thickBot="1" x14ac:dyDescent="0.3">
      <c r="B28" s="108" t="s">
        <v>0</v>
      </c>
      <c r="C28" s="28" t="s">
        <v>5</v>
      </c>
      <c r="D28" s="108" t="s">
        <v>205</v>
      </c>
      <c r="E28" s="28" t="s">
        <v>1</v>
      </c>
    </row>
    <row r="29" spans="2:5" ht="42.75" customHeight="1" x14ac:dyDescent="0.25">
      <c r="B29" s="17" t="s">
        <v>49</v>
      </c>
      <c r="C29" s="11">
        <v>1</v>
      </c>
      <c r="D29" s="16"/>
      <c r="E29" s="7">
        <f t="shared" ref="E29:E35" si="2">C29*D29</f>
        <v>0</v>
      </c>
    </row>
    <row r="30" spans="2:5" ht="42.75" customHeight="1" x14ac:dyDescent="0.25">
      <c r="B30" s="18" t="s">
        <v>61</v>
      </c>
      <c r="C30" s="12">
        <v>1</v>
      </c>
      <c r="D30" s="14"/>
      <c r="E30" s="8">
        <f t="shared" si="2"/>
        <v>0</v>
      </c>
    </row>
    <row r="31" spans="2:5" ht="42.75" customHeight="1" x14ac:dyDescent="0.25">
      <c r="B31" s="18" t="s">
        <v>55</v>
      </c>
      <c r="C31" s="12">
        <v>2</v>
      </c>
      <c r="D31" s="14"/>
      <c r="E31" s="8">
        <f t="shared" si="2"/>
        <v>0</v>
      </c>
    </row>
    <row r="32" spans="2:5" ht="33" customHeight="1" x14ac:dyDescent="0.25">
      <c r="B32" s="18" t="s">
        <v>56</v>
      </c>
      <c r="C32" s="12">
        <v>2</v>
      </c>
      <c r="D32" s="14"/>
      <c r="E32" s="8">
        <f t="shared" si="2"/>
        <v>0</v>
      </c>
    </row>
    <row r="33" spans="2:5" ht="33" customHeight="1" x14ac:dyDescent="0.25">
      <c r="B33" s="18" t="s">
        <v>57</v>
      </c>
      <c r="C33" s="12">
        <v>2</v>
      </c>
      <c r="D33" s="14"/>
      <c r="E33" s="8">
        <f t="shared" si="2"/>
        <v>0</v>
      </c>
    </row>
    <row r="34" spans="2:5" ht="33" customHeight="1" x14ac:dyDescent="0.25">
      <c r="B34" s="18" t="s">
        <v>58</v>
      </c>
      <c r="C34" s="12">
        <v>2</v>
      </c>
      <c r="D34" s="14"/>
      <c r="E34" s="8">
        <f t="shared" si="2"/>
        <v>0</v>
      </c>
    </row>
    <row r="35" spans="2:5" ht="37.5" customHeight="1" thickBot="1" x14ac:dyDescent="0.3">
      <c r="B35" s="19" t="s">
        <v>59</v>
      </c>
      <c r="C35" s="13">
        <v>2</v>
      </c>
      <c r="D35" s="15"/>
      <c r="E35" s="9">
        <f t="shared" si="2"/>
        <v>0</v>
      </c>
    </row>
    <row r="36" spans="2:5" s="10" customFormat="1" ht="31.5" customHeight="1" thickBot="1" x14ac:dyDescent="0.3">
      <c r="B36" s="51"/>
      <c r="C36" s="52"/>
      <c r="D36" s="53" t="s">
        <v>150</v>
      </c>
      <c r="E36" s="47">
        <f>SUBTOTAL(109,SERVENTE_LIMPEZA[PONTOS])</f>
        <v>0</v>
      </c>
    </row>
    <row r="37" spans="2:5" ht="16.5" customHeight="1" x14ac:dyDescent="0.25"/>
    <row r="38" spans="2:5" ht="13.5" customHeight="1" thickBot="1" x14ac:dyDescent="0.3"/>
    <row r="39" spans="2:5" ht="33.75" customHeight="1" thickBot="1" x14ac:dyDescent="0.3">
      <c r="B39" s="128" t="s">
        <v>166</v>
      </c>
      <c r="C39" s="130"/>
      <c r="D39" s="92" t="s">
        <v>176</v>
      </c>
      <c r="E39" s="110"/>
    </row>
    <row r="40" spans="2:5" ht="31.5" customHeight="1" thickBot="1" x14ac:dyDescent="0.3">
      <c r="B40" s="108" t="s">
        <v>0</v>
      </c>
      <c r="C40" s="28" t="s">
        <v>5</v>
      </c>
      <c r="D40" s="108" t="s">
        <v>205</v>
      </c>
      <c r="E40" s="28" t="s">
        <v>1</v>
      </c>
    </row>
    <row r="41" spans="2:5" ht="37.5" customHeight="1" x14ac:dyDescent="0.25">
      <c r="B41" s="17" t="s">
        <v>49</v>
      </c>
      <c r="C41" s="11">
        <v>1</v>
      </c>
      <c r="D41" s="16"/>
      <c r="E41" s="7">
        <f>C41*D41</f>
        <v>0</v>
      </c>
    </row>
    <row r="42" spans="2:5" ht="37.5" customHeight="1" x14ac:dyDescent="0.25">
      <c r="B42" s="18" t="s">
        <v>61</v>
      </c>
      <c r="C42" s="12">
        <v>1</v>
      </c>
      <c r="D42" s="14"/>
      <c r="E42" s="8">
        <f>C42*D42</f>
        <v>0</v>
      </c>
    </row>
    <row r="43" spans="2:5" s="10" customFormat="1" ht="27.75" customHeight="1" x14ac:dyDescent="0.25">
      <c r="B43" s="18" t="s">
        <v>98</v>
      </c>
      <c r="C43" s="12">
        <v>2</v>
      </c>
      <c r="D43" s="14"/>
      <c r="E43" s="8">
        <f>C43*D43</f>
        <v>0</v>
      </c>
    </row>
    <row r="44" spans="2:5" ht="27.75" customHeight="1" x14ac:dyDescent="0.25">
      <c r="B44" s="18" t="s">
        <v>99</v>
      </c>
      <c r="C44" s="12">
        <v>2</v>
      </c>
      <c r="D44" s="14"/>
      <c r="E44" s="8">
        <f>C44*D44</f>
        <v>0</v>
      </c>
    </row>
    <row r="45" spans="2:5" ht="27.75" customHeight="1" thickBot="1" x14ac:dyDescent="0.3">
      <c r="B45" s="19" t="s">
        <v>100</v>
      </c>
      <c r="C45" s="13">
        <v>2</v>
      </c>
      <c r="D45" s="15"/>
      <c r="E45" s="9">
        <f>C45*D45</f>
        <v>0</v>
      </c>
    </row>
    <row r="46" spans="2:5" ht="38.25" customHeight="1" thickBot="1" x14ac:dyDescent="0.3">
      <c r="B46" s="51"/>
      <c r="C46" s="52"/>
      <c r="D46" s="53" t="s">
        <v>150</v>
      </c>
      <c r="E46" s="47">
        <f>SUBTOTAL(109,AUX_LAVANDERIA[PONTOS])</f>
        <v>0</v>
      </c>
    </row>
    <row r="47" spans="2:5" ht="14.25" customHeight="1" thickBot="1" x14ac:dyDescent="0.3"/>
    <row r="48" spans="2:5" ht="33" customHeight="1" thickBot="1" x14ac:dyDescent="0.3">
      <c r="B48" s="128" t="s">
        <v>167</v>
      </c>
      <c r="C48" s="130"/>
      <c r="D48" s="92" t="s">
        <v>176</v>
      </c>
      <c r="E48" s="110"/>
    </row>
    <row r="49" spans="2:7" ht="39.75" customHeight="1" thickBot="1" x14ac:dyDescent="0.3">
      <c r="B49" s="108" t="s">
        <v>0</v>
      </c>
      <c r="C49" s="28" t="s">
        <v>5</v>
      </c>
      <c r="D49" s="108" t="s">
        <v>205</v>
      </c>
      <c r="E49" s="28" t="s">
        <v>1</v>
      </c>
    </row>
    <row r="50" spans="2:7" s="3" customFormat="1" ht="44.25" customHeight="1" x14ac:dyDescent="0.25">
      <c r="B50" s="17" t="s">
        <v>49</v>
      </c>
      <c r="C50" s="11">
        <v>1</v>
      </c>
      <c r="D50" s="16"/>
      <c r="E50" s="7">
        <f>C50*D50</f>
        <v>0</v>
      </c>
      <c r="F50" s="1"/>
      <c r="G50" s="1"/>
    </row>
    <row r="51" spans="2:7" s="3" customFormat="1" ht="44.25" customHeight="1" x14ac:dyDescent="0.25">
      <c r="B51" s="18" t="s">
        <v>50</v>
      </c>
      <c r="C51" s="12">
        <v>1</v>
      </c>
      <c r="D51" s="14"/>
      <c r="E51" s="8">
        <f>C51*D51</f>
        <v>0</v>
      </c>
      <c r="F51" s="1"/>
      <c r="G51" s="1"/>
    </row>
    <row r="52" spans="2:7" ht="44.25" customHeight="1" x14ac:dyDescent="0.25">
      <c r="B52" s="18" t="s">
        <v>101</v>
      </c>
      <c r="C52" s="12">
        <v>2</v>
      </c>
      <c r="D52" s="14"/>
      <c r="E52" s="8">
        <f>C52*D52</f>
        <v>0</v>
      </c>
    </row>
    <row r="53" spans="2:7" ht="44.25" customHeight="1" x14ac:dyDescent="0.25">
      <c r="B53" s="18" t="s">
        <v>102</v>
      </c>
      <c r="C53" s="12">
        <v>2</v>
      </c>
      <c r="D53" s="14"/>
      <c r="E53" s="8">
        <f>C53*D53</f>
        <v>0</v>
      </c>
    </row>
    <row r="54" spans="2:7" s="10" customFormat="1" ht="44.25" customHeight="1" thickBot="1" x14ac:dyDescent="0.3">
      <c r="B54" s="19" t="s">
        <v>103</v>
      </c>
      <c r="C54" s="13">
        <v>2</v>
      </c>
      <c r="D54" s="15"/>
      <c r="E54" s="9">
        <f>C54*D54</f>
        <v>0</v>
      </c>
    </row>
    <row r="55" spans="2:7" ht="49.5" customHeight="1" thickBot="1" x14ac:dyDescent="0.3">
      <c r="B55" s="51"/>
      <c r="C55" s="52"/>
      <c r="D55" s="53" t="s">
        <v>150</v>
      </c>
      <c r="E55" s="47">
        <f>SUBTOTAL(109,LAVADOR_VEÍCULOS[PONTOS])</f>
        <v>0</v>
      </c>
    </row>
    <row r="56" spans="2:7" ht="15.75" customHeight="1" thickBot="1" x14ac:dyDescent="0.3"/>
    <row r="57" spans="2:7" s="10" customFormat="1" ht="30" customHeight="1" thickBot="1" x14ac:dyDescent="0.3">
      <c r="B57" s="128" t="s">
        <v>171</v>
      </c>
      <c r="C57" s="129"/>
      <c r="D57" s="129"/>
      <c r="E57" s="130"/>
    </row>
    <row r="58" spans="2:7" ht="33" customHeight="1" thickBot="1" x14ac:dyDescent="0.3">
      <c r="B58" s="108" t="s">
        <v>0</v>
      </c>
      <c r="C58" s="28" t="s">
        <v>5</v>
      </c>
      <c r="D58" s="59" t="s">
        <v>205</v>
      </c>
      <c r="E58" s="2" t="s">
        <v>1</v>
      </c>
    </row>
    <row r="59" spans="2:7" ht="42.75" customHeight="1" x14ac:dyDescent="0.25">
      <c r="B59" s="17" t="s">
        <v>49</v>
      </c>
      <c r="C59" s="11">
        <v>1</v>
      </c>
      <c r="D59" s="16"/>
      <c r="E59" s="7">
        <f t="shared" ref="E59:E64" si="3">C59*D59</f>
        <v>0</v>
      </c>
    </row>
    <row r="60" spans="2:7" ht="42.75" customHeight="1" x14ac:dyDescent="0.25">
      <c r="B60" s="18" t="s">
        <v>50</v>
      </c>
      <c r="C60" s="12">
        <v>1</v>
      </c>
      <c r="D60" s="14"/>
      <c r="E60" s="8">
        <f t="shared" si="3"/>
        <v>0</v>
      </c>
    </row>
    <row r="61" spans="2:7" ht="42.75" customHeight="1" x14ac:dyDescent="0.25">
      <c r="B61" s="18" t="s">
        <v>115</v>
      </c>
      <c r="C61" s="12">
        <v>2</v>
      </c>
      <c r="D61" s="14"/>
      <c r="E61" s="8">
        <f t="shared" si="3"/>
        <v>0</v>
      </c>
    </row>
    <row r="62" spans="2:7" ht="27" customHeight="1" x14ac:dyDescent="0.25">
      <c r="B62" s="18" t="s">
        <v>116</v>
      </c>
      <c r="C62" s="12">
        <v>2</v>
      </c>
      <c r="D62" s="14"/>
      <c r="E62" s="8">
        <f t="shared" si="3"/>
        <v>0</v>
      </c>
    </row>
    <row r="63" spans="2:7" ht="32.25" customHeight="1" x14ac:dyDescent="0.25">
      <c r="B63" s="18" t="s">
        <v>117</v>
      </c>
      <c r="C63" s="12">
        <v>2</v>
      </c>
      <c r="D63" s="14"/>
      <c r="E63" s="8">
        <f t="shared" si="3"/>
        <v>0</v>
      </c>
    </row>
    <row r="64" spans="2:7" s="3" customFormat="1" ht="36.75" customHeight="1" thickBot="1" x14ac:dyDescent="0.3">
      <c r="B64" s="19" t="s">
        <v>118</v>
      </c>
      <c r="C64" s="13">
        <v>2</v>
      </c>
      <c r="D64" s="15"/>
      <c r="E64" s="9">
        <f t="shared" si="3"/>
        <v>0</v>
      </c>
      <c r="F64" s="1"/>
      <c r="G64" s="1"/>
    </row>
    <row r="65" spans="2:13" s="3" customFormat="1" ht="47.25" customHeight="1" thickBot="1" x14ac:dyDescent="0.3">
      <c r="B65" s="51"/>
      <c r="C65" s="52"/>
      <c r="D65" s="53" t="s">
        <v>150</v>
      </c>
      <c r="E65" s="47">
        <f>SUBTOTAL(109,LIMPEZA_VIDROS[PONTOS])</f>
        <v>0</v>
      </c>
      <c r="F65" s="1"/>
      <c r="G65" s="1"/>
    </row>
    <row r="66" spans="2:13" ht="15.75" customHeight="1" thickBot="1" x14ac:dyDescent="0.3"/>
    <row r="67" spans="2:13" ht="33.75" customHeight="1" thickBot="1" x14ac:dyDescent="0.3">
      <c r="B67" s="128" t="s">
        <v>172</v>
      </c>
      <c r="C67" s="129"/>
      <c r="D67" s="129"/>
      <c r="E67" s="130"/>
    </row>
    <row r="68" spans="2:13" ht="35.25" customHeight="1" thickBot="1" x14ac:dyDescent="0.3">
      <c r="B68" s="108" t="s">
        <v>0</v>
      </c>
      <c r="C68" s="28" t="s">
        <v>5</v>
      </c>
      <c r="D68" s="59" t="s">
        <v>205</v>
      </c>
      <c r="E68" s="2" t="s">
        <v>1</v>
      </c>
    </row>
    <row r="69" spans="2:13" ht="34.5" customHeight="1" x14ac:dyDescent="0.25">
      <c r="B69" s="17" t="s">
        <v>49</v>
      </c>
      <c r="C69" s="11">
        <v>1</v>
      </c>
      <c r="D69" s="16"/>
      <c r="E69" s="7">
        <f>C69*D69</f>
        <v>0</v>
      </c>
    </row>
    <row r="70" spans="2:13" ht="34.5" customHeight="1" x14ac:dyDescent="0.25">
      <c r="B70" s="18" t="s">
        <v>50</v>
      </c>
      <c r="C70" s="12">
        <v>1</v>
      </c>
      <c r="D70" s="14"/>
      <c r="E70" s="8">
        <f>C70*D70</f>
        <v>0</v>
      </c>
    </row>
    <row r="71" spans="2:13" ht="34.5" customHeight="1" x14ac:dyDescent="0.25">
      <c r="B71" s="18" t="s">
        <v>119</v>
      </c>
      <c r="C71" s="12">
        <v>2</v>
      </c>
      <c r="D71" s="14"/>
      <c r="E71" s="8">
        <f>C71*D71</f>
        <v>0</v>
      </c>
    </row>
    <row r="72" spans="2:13" ht="34.5" customHeight="1" x14ac:dyDescent="0.25">
      <c r="B72" s="18" t="s">
        <v>120</v>
      </c>
      <c r="C72" s="12">
        <v>2</v>
      </c>
      <c r="D72" s="14"/>
      <c r="E72" s="8">
        <f>C72*D72</f>
        <v>0</v>
      </c>
    </row>
    <row r="73" spans="2:13" ht="34.5" customHeight="1" thickBot="1" x14ac:dyDescent="0.3">
      <c r="B73" s="19" t="s">
        <v>117</v>
      </c>
      <c r="C73" s="13">
        <v>2</v>
      </c>
      <c r="D73" s="15"/>
      <c r="E73" s="8">
        <f>C73*D73</f>
        <v>0</v>
      </c>
    </row>
    <row r="74" spans="2:13" ht="48.75" customHeight="1" thickBot="1" x14ac:dyDescent="0.3">
      <c r="B74" s="51"/>
      <c r="C74" s="52"/>
      <c r="D74" s="53" t="s">
        <v>150</v>
      </c>
      <c r="E74" s="47">
        <f>SUBTOTAL(109,LIMPEZA_ÁREAS_EXT[PONTOS])</f>
        <v>0</v>
      </c>
    </row>
    <row r="75" spans="2:13" ht="10.5" customHeight="1" thickBot="1" x14ac:dyDescent="0.3"/>
    <row r="76" spans="2:13" ht="29.25" customHeight="1" thickBot="1" x14ac:dyDescent="0.3">
      <c r="B76" s="139" t="s">
        <v>207</v>
      </c>
      <c r="C76" s="140"/>
      <c r="D76" s="2" t="s">
        <v>189</v>
      </c>
      <c r="E76" s="2" t="s">
        <v>190</v>
      </c>
    </row>
    <row r="77" spans="2:13" ht="29.25" customHeight="1" thickBot="1" x14ac:dyDescent="0.3">
      <c r="B77" s="141"/>
      <c r="C77" s="142"/>
      <c r="D77" s="2">
        <f>E48+E39+E27+E16+E6</f>
        <v>0</v>
      </c>
      <c r="E77" s="2">
        <f>LIMPEZA_ÁREAS_EXT[[#Totals],[PONTOS]]+LIMPEZA_VIDROS[[#Totals],[PONTOS]]+LAVADOR_VEÍCULOS[[#Totals],[PONTOS]]+AUX_LAVANDERIA[[#Totals],[PONTOS]]+SERVENTE_LIMPEZA[[#Totals],[PONTOS]]+AUX_SERV_GERAIS[[#Totals],[PONTOS]]+ENCARREGADOS[[#Totals],[PONTOS]]</f>
        <v>0</v>
      </c>
    </row>
    <row r="78" spans="2:13" ht="15.75" thickBot="1" x14ac:dyDescent="0.3"/>
    <row r="79" spans="2:13" ht="50.25" customHeight="1" thickBot="1" x14ac:dyDescent="0.3">
      <c r="B79" s="133" t="s">
        <v>198</v>
      </c>
      <c r="C79" s="134"/>
      <c r="D79" s="134"/>
      <c r="E79" s="122" t="str">
        <f>B4</f>
        <v>BLOCO 1 - POSTOS COM DOTAÇÃO ORÇAMENTÁRIA: 3390-37.01 - LIMPEZA E CONSERVAÇÃO</v>
      </c>
      <c r="F79" s="122"/>
      <c r="G79" s="122"/>
      <c r="H79" s="122"/>
      <c r="I79" s="122"/>
      <c r="J79" s="122"/>
      <c r="K79" s="122"/>
      <c r="L79" s="122"/>
      <c r="M79" s="135"/>
    </row>
    <row r="80" spans="2:13" ht="18" customHeight="1" thickBot="1" x14ac:dyDescent="0.3">
      <c r="B80" s="131" t="s">
        <v>133</v>
      </c>
      <c r="C80" s="131" t="s">
        <v>178</v>
      </c>
      <c r="D80" s="131" t="s">
        <v>148</v>
      </c>
      <c r="E80" s="131" t="s">
        <v>134</v>
      </c>
      <c r="F80" s="131" t="s">
        <v>191</v>
      </c>
      <c r="G80" s="131" t="s">
        <v>174</v>
      </c>
      <c r="H80" s="131" t="s">
        <v>135</v>
      </c>
      <c r="I80" s="136" t="s">
        <v>136</v>
      </c>
      <c r="J80" s="137"/>
      <c r="K80" s="137"/>
      <c r="L80" s="138"/>
      <c r="M80" s="131" t="s">
        <v>141</v>
      </c>
    </row>
    <row r="81" spans="2:13" ht="18" thickBot="1" x14ac:dyDescent="0.3">
      <c r="B81" s="132"/>
      <c r="C81" s="132"/>
      <c r="D81" s="132"/>
      <c r="E81" s="132"/>
      <c r="F81" s="132"/>
      <c r="G81" s="132"/>
      <c r="H81" s="132"/>
      <c r="I81" s="109" t="s">
        <v>137</v>
      </c>
      <c r="J81" s="109" t="s">
        <v>138</v>
      </c>
      <c r="K81" s="109" t="s">
        <v>139</v>
      </c>
      <c r="L81" s="58" t="s">
        <v>140</v>
      </c>
      <c r="M81" s="132"/>
    </row>
    <row r="82" spans="2:13" ht="87" hidden="1" customHeight="1" thickBot="1" x14ac:dyDescent="0.3">
      <c r="B82" s="58" t="s">
        <v>6</v>
      </c>
      <c r="C82" s="58" t="s">
        <v>177</v>
      </c>
      <c r="D82" s="58" t="s">
        <v>148</v>
      </c>
      <c r="E82" s="58" t="s">
        <v>4</v>
      </c>
      <c r="F82" s="58" t="s">
        <v>3</v>
      </c>
      <c r="G82" s="58" t="s">
        <v>175</v>
      </c>
      <c r="H82" s="46" t="s">
        <v>129</v>
      </c>
      <c r="I82" s="58" t="s">
        <v>130</v>
      </c>
      <c r="J82" s="58" t="s">
        <v>131</v>
      </c>
      <c r="K82" s="58" t="s">
        <v>132</v>
      </c>
      <c r="L82" s="58" t="s">
        <v>126</v>
      </c>
      <c r="M82" s="58" t="s">
        <v>2</v>
      </c>
    </row>
    <row r="83" spans="2:13" ht="17.25" x14ac:dyDescent="0.25">
      <c r="B83" s="118"/>
      <c r="C83" s="39"/>
      <c r="D83" s="39"/>
      <c r="E83" s="40"/>
      <c r="F83" s="41"/>
      <c r="G83" s="54">
        <f>Dotação_37.01[[#This Row],[VALOR DO POSTO]]*Dotação_37.01[[#This Row],[Quantidade]]</f>
        <v>0</v>
      </c>
      <c r="H83" s="42">
        <f t="shared" ref="H83:H107" si="4">IF(E83=20,4,IF(OR(E83=30,E83=36),6,IF(OR(E83=40,E83=44,E83=48),8,IF(OR(E83="12x36",E83="12-SDF"),12,1))))</f>
        <v>1</v>
      </c>
      <c r="I83" s="43"/>
      <c r="J83" s="43"/>
      <c r="K83" s="43"/>
      <c r="L83" s="44">
        <f>((Dotação_37.01[[#This Row],[DIAS]]*H83)*60)+(Dotação_37.01[[#This Row],[HORAS]]*60)+Dotação_37.01[[#This Row],[MINUTOS]]</f>
        <v>0</v>
      </c>
      <c r="M83" s="45">
        <f t="shared" ref="M83:M107" si="5">IF(E83=20,F83/6000*L83,IF(E83=30,F83/9000*L83,IF(E83=36,F83/10800*L83,IF(E83=40,F83/12000*L83,IF(E83=44,F83/13200*L83,IF(E83=48,F83/14400*L83,IF(E83="12x36",F83/21600*L83,IF(E83="12-SDF",F83/5760*L83,0))))))))</f>
        <v>0</v>
      </c>
    </row>
    <row r="84" spans="2:13" ht="17.25" x14ac:dyDescent="0.25">
      <c r="B84" s="118"/>
      <c r="C84" s="39"/>
      <c r="D84" s="39"/>
      <c r="E84" s="40"/>
      <c r="F84" s="41"/>
      <c r="G84" s="54">
        <f>Dotação_37.01[[#This Row],[VALOR DO POSTO]]*Dotação_37.01[[#This Row],[Quantidade]]</f>
        <v>0</v>
      </c>
      <c r="H84" s="42">
        <f t="shared" si="4"/>
        <v>1</v>
      </c>
      <c r="I84" s="43"/>
      <c r="J84" s="43"/>
      <c r="K84" s="43"/>
      <c r="L84" s="37">
        <f>((Dotação_37.01[[#This Row],[DIAS]]*H84)*60)+(Dotação_37.01[[#This Row],[HORAS]]*60)+Dotação_37.01[[#This Row],[MINUTOS]]</f>
        <v>0</v>
      </c>
      <c r="M84" s="45">
        <f t="shared" si="5"/>
        <v>0</v>
      </c>
    </row>
    <row r="85" spans="2:13" ht="17.25" x14ac:dyDescent="0.25">
      <c r="B85" s="118"/>
      <c r="C85" s="39"/>
      <c r="D85" s="39"/>
      <c r="E85" s="40"/>
      <c r="F85" s="41"/>
      <c r="G85" s="55">
        <f>Dotação_37.01[[#This Row],[VALOR DO POSTO]]*Dotação_37.01[[#This Row],[Quantidade]]</f>
        <v>0</v>
      </c>
      <c r="H85" s="42">
        <f t="shared" si="4"/>
        <v>1</v>
      </c>
      <c r="I85" s="43"/>
      <c r="J85" s="43"/>
      <c r="K85" s="43"/>
      <c r="L85" s="37">
        <f>((Dotação_37.01[[#This Row],[DIAS]]*H85)*60)+(Dotação_37.01[[#This Row],[HORAS]]*60)+Dotação_37.01[[#This Row],[MINUTOS]]</f>
        <v>0</v>
      </c>
      <c r="M85" s="45">
        <f t="shared" si="5"/>
        <v>0</v>
      </c>
    </row>
    <row r="86" spans="2:13" ht="17.25" x14ac:dyDescent="0.25">
      <c r="B86" s="118"/>
      <c r="C86" s="39"/>
      <c r="D86" s="39"/>
      <c r="E86" s="40"/>
      <c r="F86" s="41"/>
      <c r="G86" s="55">
        <f>Dotação_37.01[[#This Row],[VALOR DO POSTO]]*Dotação_37.01[[#This Row],[Quantidade]]</f>
        <v>0</v>
      </c>
      <c r="H86" s="42">
        <f t="shared" si="4"/>
        <v>1</v>
      </c>
      <c r="I86" s="43"/>
      <c r="J86" s="43"/>
      <c r="K86" s="43"/>
      <c r="L86" s="37">
        <f>((Dotação_37.01[[#This Row],[DIAS]]*H86)*60)+(Dotação_37.01[[#This Row],[HORAS]]*60)+Dotação_37.01[[#This Row],[MINUTOS]]</f>
        <v>0</v>
      </c>
      <c r="M86" s="45">
        <f t="shared" si="5"/>
        <v>0</v>
      </c>
    </row>
    <row r="87" spans="2:13" ht="17.25" x14ac:dyDescent="0.25">
      <c r="B87" s="118"/>
      <c r="C87" s="39"/>
      <c r="D87" s="39"/>
      <c r="E87" s="40"/>
      <c r="F87" s="41"/>
      <c r="G87" s="55">
        <f>Dotação_37.01[[#This Row],[VALOR DO POSTO]]*Dotação_37.01[[#This Row],[Quantidade]]</f>
        <v>0</v>
      </c>
      <c r="H87" s="42">
        <f t="shared" si="4"/>
        <v>1</v>
      </c>
      <c r="I87" s="43"/>
      <c r="J87" s="43"/>
      <c r="K87" s="43"/>
      <c r="L87" s="37">
        <f>((Dotação_37.01[[#This Row],[DIAS]]*H87)*60)+(Dotação_37.01[[#This Row],[HORAS]]*60)+Dotação_37.01[[#This Row],[MINUTOS]]</f>
        <v>0</v>
      </c>
      <c r="M87" s="45">
        <f t="shared" si="5"/>
        <v>0</v>
      </c>
    </row>
    <row r="88" spans="2:13" ht="17.25" x14ac:dyDescent="0.25">
      <c r="B88" s="118"/>
      <c r="C88" s="39"/>
      <c r="D88" s="39"/>
      <c r="E88" s="40"/>
      <c r="F88" s="41"/>
      <c r="G88" s="55">
        <f>Dotação_37.01[[#This Row],[VALOR DO POSTO]]*Dotação_37.01[[#This Row],[Quantidade]]</f>
        <v>0</v>
      </c>
      <c r="H88" s="42">
        <f t="shared" si="4"/>
        <v>1</v>
      </c>
      <c r="I88" s="43"/>
      <c r="J88" s="43"/>
      <c r="K88" s="43"/>
      <c r="L88" s="37">
        <f>((Dotação_37.01[[#This Row],[DIAS]]*H88)*60)+(Dotação_37.01[[#This Row],[HORAS]]*60)+Dotação_37.01[[#This Row],[MINUTOS]]</f>
        <v>0</v>
      </c>
      <c r="M88" s="45">
        <f t="shared" si="5"/>
        <v>0</v>
      </c>
    </row>
    <row r="89" spans="2:13" ht="17.25" x14ac:dyDescent="0.25">
      <c r="B89" s="118"/>
      <c r="C89" s="39"/>
      <c r="D89" s="39"/>
      <c r="E89" s="40"/>
      <c r="F89" s="41"/>
      <c r="G89" s="55">
        <f>Dotação_37.01[[#This Row],[VALOR DO POSTO]]*Dotação_37.01[[#This Row],[Quantidade]]</f>
        <v>0</v>
      </c>
      <c r="H89" s="42">
        <f t="shared" si="4"/>
        <v>1</v>
      </c>
      <c r="I89" s="43"/>
      <c r="J89" s="43"/>
      <c r="K89" s="43"/>
      <c r="L89" s="37">
        <f>((Dotação_37.01[[#This Row],[DIAS]]*H89)*60)+(Dotação_37.01[[#This Row],[HORAS]]*60)+Dotação_37.01[[#This Row],[MINUTOS]]</f>
        <v>0</v>
      </c>
      <c r="M89" s="45">
        <f t="shared" si="5"/>
        <v>0</v>
      </c>
    </row>
    <row r="90" spans="2:13" ht="17.25" x14ac:dyDescent="0.25">
      <c r="B90" s="118"/>
      <c r="C90" s="39"/>
      <c r="D90" s="39"/>
      <c r="E90" s="40"/>
      <c r="F90" s="41"/>
      <c r="G90" s="55">
        <f>Dotação_37.01[[#This Row],[VALOR DO POSTO]]*Dotação_37.01[[#This Row],[Quantidade]]</f>
        <v>0</v>
      </c>
      <c r="H90" s="42">
        <f t="shared" si="4"/>
        <v>1</v>
      </c>
      <c r="I90" s="43"/>
      <c r="J90" s="43"/>
      <c r="K90" s="43"/>
      <c r="L90" s="37">
        <f>((Dotação_37.01[[#This Row],[DIAS]]*H90)*60)+(Dotação_37.01[[#This Row],[HORAS]]*60)+Dotação_37.01[[#This Row],[MINUTOS]]</f>
        <v>0</v>
      </c>
      <c r="M90" s="45">
        <f t="shared" si="5"/>
        <v>0</v>
      </c>
    </row>
    <row r="91" spans="2:13" ht="17.25" x14ac:dyDescent="0.25">
      <c r="B91" s="118"/>
      <c r="C91" s="39"/>
      <c r="D91" s="39"/>
      <c r="E91" s="40"/>
      <c r="F91" s="41"/>
      <c r="G91" s="55">
        <f>Dotação_37.01[[#This Row],[VALOR DO POSTO]]*Dotação_37.01[[#This Row],[Quantidade]]</f>
        <v>0</v>
      </c>
      <c r="H91" s="42">
        <f t="shared" si="4"/>
        <v>1</v>
      </c>
      <c r="I91" s="43"/>
      <c r="J91" s="43"/>
      <c r="K91" s="43"/>
      <c r="L91" s="37">
        <f>((Dotação_37.01[[#This Row],[DIAS]]*H91)*60)+(Dotação_37.01[[#This Row],[HORAS]]*60)+Dotação_37.01[[#This Row],[MINUTOS]]</f>
        <v>0</v>
      </c>
      <c r="M91" s="45">
        <f t="shared" si="5"/>
        <v>0</v>
      </c>
    </row>
    <row r="92" spans="2:13" ht="17.25" x14ac:dyDescent="0.25">
      <c r="B92" s="118"/>
      <c r="C92" s="39"/>
      <c r="D92" s="39"/>
      <c r="E92" s="40"/>
      <c r="F92" s="41"/>
      <c r="G92" s="55">
        <f>Dotação_37.01[[#This Row],[VALOR DO POSTO]]*Dotação_37.01[[#This Row],[Quantidade]]</f>
        <v>0</v>
      </c>
      <c r="H92" s="42">
        <f t="shared" si="4"/>
        <v>1</v>
      </c>
      <c r="I92" s="43"/>
      <c r="J92" s="43"/>
      <c r="K92" s="43"/>
      <c r="L92" s="37">
        <f>((Dotação_37.01[[#This Row],[DIAS]]*H92)*60)+(Dotação_37.01[[#This Row],[HORAS]]*60)+Dotação_37.01[[#This Row],[MINUTOS]]</f>
        <v>0</v>
      </c>
      <c r="M92" s="45">
        <f t="shared" si="5"/>
        <v>0</v>
      </c>
    </row>
    <row r="93" spans="2:13" ht="17.25" x14ac:dyDescent="0.25">
      <c r="B93" s="118"/>
      <c r="C93" s="39"/>
      <c r="D93" s="39"/>
      <c r="E93" s="40"/>
      <c r="F93" s="41"/>
      <c r="G93" s="55">
        <f>Dotação_37.01[[#This Row],[VALOR DO POSTO]]*Dotação_37.01[[#This Row],[Quantidade]]</f>
        <v>0</v>
      </c>
      <c r="H93" s="42">
        <f t="shared" si="4"/>
        <v>1</v>
      </c>
      <c r="I93" s="43"/>
      <c r="J93" s="43"/>
      <c r="K93" s="43"/>
      <c r="L93" s="37">
        <f>((Dotação_37.01[[#This Row],[DIAS]]*H93)*60)+(Dotação_37.01[[#This Row],[HORAS]]*60)+Dotação_37.01[[#This Row],[MINUTOS]]</f>
        <v>0</v>
      </c>
      <c r="M93" s="45">
        <f t="shared" si="5"/>
        <v>0</v>
      </c>
    </row>
    <row r="94" spans="2:13" ht="17.25" x14ac:dyDescent="0.25">
      <c r="B94" s="118"/>
      <c r="C94" s="39"/>
      <c r="D94" s="39"/>
      <c r="E94" s="40"/>
      <c r="F94" s="41"/>
      <c r="G94" s="55">
        <f>Dotação_37.01[[#This Row],[VALOR DO POSTO]]*Dotação_37.01[[#This Row],[Quantidade]]</f>
        <v>0</v>
      </c>
      <c r="H94" s="42">
        <f t="shared" si="4"/>
        <v>1</v>
      </c>
      <c r="I94" s="43"/>
      <c r="J94" s="43"/>
      <c r="K94" s="43"/>
      <c r="L94" s="37">
        <f>((Dotação_37.01[[#This Row],[DIAS]]*H94)*60)+(Dotação_37.01[[#This Row],[HORAS]]*60)+Dotação_37.01[[#This Row],[MINUTOS]]</f>
        <v>0</v>
      </c>
      <c r="M94" s="45">
        <f t="shared" si="5"/>
        <v>0</v>
      </c>
    </row>
    <row r="95" spans="2:13" ht="17.25" x14ac:dyDescent="0.25">
      <c r="B95" s="118"/>
      <c r="C95" s="39"/>
      <c r="D95" s="39"/>
      <c r="E95" s="40"/>
      <c r="F95" s="41"/>
      <c r="G95" s="55">
        <f>Dotação_37.01[[#This Row],[VALOR DO POSTO]]*Dotação_37.01[[#This Row],[Quantidade]]</f>
        <v>0</v>
      </c>
      <c r="H95" s="42">
        <f t="shared" si="4"/>
        <v>1</v>
      </c>
      <c r="I95" s="43"/>
      <c r="J95" s="43"/>
      <c r="K95" s="43"/>
      <c r="L95" s="37">
        <f>((Dotação_37.01[[#This Row],[DIAS]]*H95)*60)+(Dotação_37.01[[#This Row],[HORAS]]*60)+Dotação_37.01[[#This Row],[MINUTOS]]</f>
        <v>0</v>
      </c>
      <c r="M95" s="45">
        <f t="shared" si="5"/>
        <v>0</v>
      </c>
    </row>
    <row r="96" spans="2:13" ht="17.25" x14ac:dyDescent="0.25">
      <c r="B96" s="118"/>
      <c r="C96" s="39"/>
      <c r="D96" s="39"/>
      <c r="E96" s="40"/>
      <c r="F96" s="41"/>
      <c r="G96" s="55">
        <f>Dotação_37.01[[#This Row],[VALOR DO POSTO]]*Dotação_37.01[[#This Row],[Quantidade]]</f>
        <v>0</v>
      </c>
      <c r="H96" s="42">
        <f t="shared" si="4"/>
        <v>1</v>
      </c>
      <c r="I96" s="43"/>
      <c r="J96" s="43"/>
      <c r="K96" s="43"/>
      <c r="L96" s="37">
        <f>((Dotação_37.01[[#This Row],[DIAS]]*H96)*60)+(Dotação_37.01[[#This Row],[HORAS]]*60)+Dotação_37.01[[#This Row],[MINUTOS]]</f>
        <v>0</v>
      </c>
      <c r="M96" s="45">
        <f t="shared" si="5"/>
        <v>0</v>
      </c>
    </row>
    <row r="97" spans="2:13" ht="17.25" x14ac:dyDescent="0.25">
      <c r="B97" s="118"/>
      <c r="C97" s="39"/>
      <c r="D97" s="39"/>
      <c r="E97" s="40"/>
      <c r="F97" s="41"/>
      <c r="G97" s="55">
        <f>Dotação_37.01[[#This Row],[VALOR DO POSTO]]*Dotação_37.01[[#This Row],[Quantidade]]</f>
        <v>0</v>
      </c>
      <c r="H97" s="42">
        <f t="shared" si="4"/>
        <v>1</v>
      </c>
      <c r="I97" s="43"/>
      <c r="J97" s="43"/>
      <c r="K97" s="43"/>
      <c r="L97" s="37">
        <f>((Dotação_37.01[[#This Row],[DIAS]]*H97)*60)+(Dotação_37.01[[#This Row],[HORAS]]*60)+Dotação_37.01[[#This Row],[MINUTOS]]</f>
        <v>0</v>
      </c>
      <c r="M97" s="45">
        <f t="shared" si="5"/>
        <v>0</v>
      </c>
    </row>
    <row r="98" spans="2:13" ht="17.25" x14ac:dyDescent="0.25">
      <c r="B98" s="118"/>
      <c r="C98" s="39"/>
      <c r="D98" s="39"/>
      <c r="E98" s="40"/>
      <c r="F98" s="41"/>
      <c r="G98" s="55">
        <f>Dotação_37.01[[#This Row],[VALOR DO POSTO]]*Dotação_37.01[[#This Row],[Quantidade]]</f>
        <v>0</v>
      </c>
      <c r="H98" s="42">
        <f t="shared" si="4"/>
        <v>1</v>
      </c>
      <c r="I98" s="43"/>
      <c r="J98" s="43"/>
      <c r="K98" s="43"/>
      <c r="L98" s="37">
        <f>((Dotação_37.01[[#This Row],[DIAS]]*H98)*60)+(Dotação_37.01[[#This Row],[HORAS]]*60)+Dotação_37.01[[#This Row],[MINUTOS]]</f>
        <v>0</v>
      </c>
      <c r="M98" s="45">
        <f t="shared" si="5"/>
        <v>0</v>
      </c>
    </row>
    <row r="99" spans="2:13" ht="17.25" x14ac:dyDescent="0.25">
      <c r="B99" s="118"/>
      <c r="C99" s="39"/>
      <c r="D99" s="39"/>
      <c r="E99" s="40"/>
      <c r="F99" s="41"/>
      <c r="G99" s="55">
        <f>Dotação_37.01[[#This Row],[VALOR DO POSTO]]*Dotação_37.01[[#This Row],[Quantidade]]</f>
        <v>0</v>
      </c>
      <c r="H99" s="42">
        <f t="shared" si="4"/>
        <v>1</v>
      </c>
      <c r="I99" s="43"/>
      <c r="J99" s="43"/>
      <c r="K99" s="43"/>
      <c r="L99" s="37">
        <f>((Dotação_37.01[[#This Row],[DIAS]]*H99)*60)+(Dotação_37.01[[#This Row],[HORAS]]*60)+Dotação_37.01[[#This Row],[MINUTOS]]</f>
        <v>0</v>
      </c>
      <c r="M99" s="45">
        <f t="shared" si="5"/>
        <v>0</v>
      </c>
    </row>
    <row r="100" spans="2:13" ht="17.25" x14ac:dyDescent="0.25">
      <c r="B100" s="118"/>
      <c r="C100" s="39"/>
      <c r="D100" s="39"/>
      <c r="E100" s="40"/>
      <c r="F100" s="41"/>
      <c r="G100" s="55">
        <f>Dotação_37.01[[#This Row],[VALOR DO POSTO]]*Dotação_37.01[[#This Row],[Quantidade]]</f>
        <v>0</v>
      </c>
      <c r="H100" s="42">
        <f t="shared" si="4"/>
        <v>1</v>
      </c>
      <c r="I100" s="43"/>
      <c r="J100" s="43"/>
      <c r="K100" s="43"/>
      <c r="L100" s="37">
        <f>((Dotação_37.01[[#This Row],[DIAS]]*H100)*60)+(Dotação_37.01[[#This Row],[HORAS]]*60)+Dotação_37.01[[#This Row],[MINUTOS]]</f>
        <v>0</v>
      </c>
      <c r="M100" s="45">
        <f t="shared" si="5"/>
        <v>0</v>
      </c>
    </row>
    <row r="101" spans="2:13" ht="17.25" x14ac:dyDescent="0.25">
      <c r="B101" s="118"/>
      <c r="C101" s="39"/>
      <c r="D101" s="39"/>
      <c r="E101" s="40"/>
      <c r="F101" s="41"/>
      <c r="G101" s="55">
        <f>Dotação_37.01[[#This Row],[VALOR DO POSTO]]*Dotação_37.01[[#This Row],[Quantidade]]</f>
        <v>0</v>
      </c>
      <c r="H101" s="42">
        <f t="shared" si="4"/>
        <v>1</v>
      </c>
      <c r="I101" s="43"/>
      <c r="J101" s="43"/>
      <c r="K101" s="43"/>
      <c r="L101" s="37">
        <f>((Dotação_37.01[[#This Row],[DIAS]]*H101)*60)+(Dotação_37.01[[#This Row],[HORAS]]*60)+Dotação_37.01[[#This Row],[MINUTOS]]</f>
        <v>0</v>
      </c>
      <c r="M101" s="45">
        <f t="shared" si="5"/>
        <v>0</v>
      </c>
    </row>
    <row r="102" spans="2:13" ht="17.25" x14ac:dyDescent="0.25">
      <c r="B102" s="118"/>
      <c r="C102" s="39"/>
      <c r="D102" s="39"/>
      <c r="E102" s="40"/>
      <c r="F102" s="41"/>
      <c r="G102" s="55">
        <f>Dotação_37.01[[#This Row],[VALOR DO POSTO]]*Dotação_37.01[[#This Row],[Quantidade]]</f>
        <v>0</v>
      </c>
      <c r="H102" s="42">
        <f t="shared" si="4"/>
        <v>1</v>
      </c>
      <c r="I102" s="43"/>
      <c r="J102" s="43"/>
      <c r="K102" s="43"/>
      <c r="L102" s="37">
        <f>((Dotação_37.01[[#This Row],[DIAS]]*H102)*60)+(Dotação_37.01[[#This Row],[HORAS]]*60)+Dotação_37.01[[#This Row],[MINUTOS]]</f>
        <v>0</v>
      </c>
      <c r="M102" s="45">
        <f t="shared" si="5"/>
        <v>0</v>
      </c>
    </row>
    <row r="103" spans="2:13" ht="17.25" x14ac:dyDescent="0.25">
      <c r="B103" s="118"/>
      <c r="C103" s="39"/>
      <c r="D103" s="39"/>
      <c r="E103" s="40"/>
      <c r="F103" s="41"/>
      <c r="G103" s="55">
        <f>Dotação_37.01[[#This Row],[VALOR DO POSTO]]*Dotação_37.01[[#This Row],[Quantidade]]</f>
        <v>0</v>
      </c>
      <c r="H103" s="42">
        <f t="shared" si="4"/>
        <v>1</v>
      </c>
      <c r="I103" s="43"/>
      <c r="J103" s="43"/>
      <c r="K103" s="43"/>
      <c r="L103" s="37">
        <f>((Dotação_37.01[[#This Row],[DIAS]]*H103)*60)+(Dotação_37.01[[#This Row],[HORAS]]*60)+Dotação_37.01[[#This Row],[MINUTOS]]</f>
        <v>0</v>
      </c>
      <c r="M103" s="45">
        <f t="shared" si="5"/>
        <v>0</v>
      </c>
    </row>
    <row r="104" spans="2:13" ht="17.25" x14ac:dyDescent="0.25">
      <c r="B104" s="118"/>
      <c r="C104" s="39"/>
      <c r="D104" s="39"/>
      <c r="E104" s="40"/>
      <c r="F104" s="41"/>
      <c r="G104" s="55">
        <f>Dotação_37.01[[#This Row],[VALOR DO POSTO]]*Dotação_37.01[[#This Row],[Quantidade]]</f>
        <v>0</v>
      </c>
      <c r="H104" s="42">
        <f t="shared" si="4"/>
        <v>1</v>
      </c>
      <c r="I104" s="43"/>
      <c r="J104" s="43"/>
      <c r="K104" s="43"/>
      <c r="L104" s="37">
        <f>((Dotação_37.01[[#This Row],[DIAS]]*H104)*60)+(Dotação_37.01[[#This Row],[HORAS]]*60)+Dotação_37.01[[#This Row],[MINUTOS]]</f>
        <v>0</v>
      </c>
      <c r="M104" s="45">
        <f t="shared" si="5"/>
        <v>0</v>
      </c>
    </row>
    <row r="105" spans="2:13" ht="17.25" x14ac:dyDescent="0.25">
      <c r="B105" s="118"/>
      <c r="C105" s="39"/>
      <c r="D105" s="39"/>
      <c r="E105" s="40"/>
      <c r="F105" s="41"/>
      <c r="G105" s="55">
        <f>Dotação_37.01[[#This Row],[VALOR DO POSTO]]*Dotação_37.01[[#This Row],[Quantidade]]</f>
        <v>0</v>
      </c>
      <c r="H105" s="42">
        <f t="shared" si="4"/>
        <v>1</v>
      </c>
      <c r="I105" s="43"/>
      <c r="J105" s="43"/>
      <c r="K105" s="43"/>
      <c r="L105" s="37">
        <f>((Dotação_37.01[[#This Row],[DIAS]]*H105)*60)+(Dotação_37.01[[#This Row],[HORAS]]*60)+Dotação_37.01[[#This Row],[MINUTOS]]</f>
        <v>0</v>
      </c>
      <c r="M105" s="45">
        <f t="shared" si="5"/>
        <v>0</v>
      </c>
    </row>
    <row r="106" spans="2:13" ht="17.25" x14ac:dyDescent="0.25">
      <c r="B106" s="118"/>
      <c r="C106" s="39"/>
      <c r="D106" s="39"/>
      <c r="E106" s="40"/>
      <c r="F106" s="41"/>
      <c r="G106" s="56">
        <f>Dotação_37.01[[#This Row],[VALOR DO POSTO]]*Dotação_37.01[[#This Row],[Quantidade]]</f>
        <v>0</v>
      </c>
      <c r="H106" s="42">
        <f t="shared" si="4"/>
        <v>1</v>
      </c>
      <c r="I106" s="43"/>
      <c r="J106" s="43"/>
      <c r="K106" s="43"/>
      <c r="L106" s="37">
        <f>((Dotação_37.01[[#This Row],[DIAS]]*H106)*60)+(Dotação_37.01[[#This Row],[HORAS]]*60)+Dotação_37.01[[#This Row],[MINUTOS]]</f>
        <v>0</v>
      </c>
      <c r="M106" s="45">
        <f t="shared" si="5"/>
        <v>0</v>
      </c>
    </row>
    <row r="107" spans="2:13" ht="18" thickBot="1" x14ac:dyDescent="0.3">
      <c r="B107" s="118"/>
      <c r="C107" s="39"/>
      <c r="D107" s="39"/>
      <c r="E107" s="40"/>
      <c r="F107" s="41"/>
      <c r="G107" s="56">
        <f>Dotação_37.01[[#This Row],[VALOR DO POSTO]]*Dotação_37.01[[#This Row],[Quantidade]]</f>
        <v>0</v>
      </c>
      <c r="H107" s="42">
        <f t="shared" si="4"/>
        <v>1</v>
      </c>
      <c r="I107" s="43"/>
      <c r="J107" s="43"/>
      <c r="K107" s="43"/>
      <c r="L107" s="37">
        <f>((Dotação_37.01[[#This Row],[DIAS]]*H107)*60)+(Dotação_37.01[[#This Row],[HORAS]]*60)+Dotação_37.01[[#This Row],[MINUTOS]]</f>
        <v>0</v>
      </c>
      <c r="M107" s="45">
        <f t="shared" si="5"/>
        <v>0</v>
      </c>
    </row>
    <row r="108" spans="2:13" ht="18" thickBot="1" x14ac:dyDescent="0.3">
      <c r="B108" s="22" t="s">
        <v>127</v>
      </c>
      <c r="C108" s="22"/>
      <c r="D108" s="22">
        <f>SUBTOTAL(109,Dotação_37.01[Quantidade])</f>
        <v>0</v>
      </c>
      <c r="E108" s="23"/>
      <c r="F108" s="24"/>
      <c r="G108" s="57">
        <f>SUBTOTAL(109,Dotação_37.01[VALOR MENSAL])</f>
        <v>0</v>
      </c>
      <c r="H108" s="25"/>
      <c r="I108" s="25"/>
      <c r="J108" s="25"/>
      <c r="K108" s="25"/>
      <c r="L108" s="24"/>
      <c r="M108" s="26">
        <f>SUBTOTAL(109,Dotação_37.01[GLOSA])</f>
        <v>0</v>
      </c>
    </row>
  </sheetData>
  <mergeCells count="21">
    <mergeCell ref="B6:C6"/>
    <mergeCell ref="B2:E2"/>
    <mergeCell ref="B4:E4"/>
    <mergeCell ref="B16:C16"/>
    <mergeCell ref="B27:C27"/>
    <mergeCell ref="B39:C39"/>
    <mergeCell ref="B48:C48"/>
    <mergeCell ref="B57:E57"/>
    <mergeCell ref="B67:E67"/>
    <mergeCell ref="B76:C77"/>
    <mergeCell ref="M80:M81"/>
    <mergeCell ref="B79:D79"/>
    <mergeCell ref="E79:M79"/>
    <mergeCell ref="B80:B81"/>
    <mergeCell ref="C80:C81"/>
    <mergeCell ref="D80:D81"/>
    <mergeCell ref="E80:E81"/>
    <mergeCell ref="F80:F81"/>
    <mergeCell ref="G80:G81"/>
    <mergeCell ref="H80:H81"/>
    <mergeCell ref="I80:L80"/>
  </mergeCells>
  <dataValidations count="1">
    <dataValidation type="list" allowBlank="1" showErrorMessage="1" error="ESCOLHER SOMENTE AS OPÇÕES DA LISTA" sqref="E83:E107" xr:uid="{77036AA6-4C7A-45CC-848A-3F7B389BC65C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4F8E-B9AD-4B59-BA6F-1D3F5D2B1D5E}">
  <sheetPr codeName="Planilha5"/>
  <dimension ref="B1:T72"/>
  <sheetViews>
    <sheetView showGridLines="0" topLeftCell="A40" zoomScale="85" zoomScaleNormal="85" workbookViewId="0">
      <selection activeCell="M52" sqref="M52:M71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.28515625" style="1" customWidth="1"/>
    <col min="8" max="8" width="9.140625" style="1" hidden="1" customWidth="1"/>
    <col min="9" max="10" width="9.140625" style="1"/>
    <col min="11" max="11" width="9.85546875" style="1" customWidth="1"/>
    <col min="12" max="12" width="10.28515625" style="1" customWidth="1"/>
    <col min="13" max="13" width="28.8554687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43" t="s">
        <v>180</v>
      </c>
      <c r="C4" s="144"/>
      <c r="D4" s="144"/>
      <c r="E4" s="144"/>
      <c r="F4" s="145"/>
    </row>
    <row r="5" spans="2:6" ht="9.75" customHeight="1" thickBot="1" x14ac:dyDescent="0.3">
      <c r="B5" s="1"/>
      <c r="C5" s="1"/>
      <c r="E5" s="1"/>
    </row>
    <row r="6" spans="2:6" ht="26.25" customHeight="1" thickBot="1" x14ac:dyDescent="0.3">
      <c r="B6" s="128" t="s">
        <v>158</v>
      </c>
      <c r="C6" s="130"/>
      <c r="D6" s="92" t="s">
        <v>176</v>
      </c>
      <c r="E6" s="110"/>
    </row>
    <row r="7" spans="2:6" ht="33" customHeight="1" thickBot="1" x14ac:dyDescent="0.3">
      <c r="B7" s="108" t="s">
        <v>0</v>
      </c>
      <c r="C7" s="28" t="s">
        <v>5</v>
      </c>
      <c r="D7" s="108" t="s">
        <v>205</v>
      </c>
      <c r="E7" s="28" t="s">
        <v>1</v>
      </c>
    </row>
    <row r="8" spans="2:6" ht="39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6" ht="37.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6" ht="23.25" customHeight="1" x14ac:dyDescent="0.25">
      <c r="B10" s="18" t="s">
        <v>62</v>
      </c>
      <c r="C10" s="12">
        <v>2</v>
      </c>
      <c r="D10" s="14"/>
      <c r="E10" s="8">
        <f t="shared" si="0"/>
        <v>0</v>
      </c>
    </row>
    <row r="11" spans="2:6" ht="26.25" customHeight="1" x14ac:dyDescent="0.25">
      <c r="B11" s="18" t="s">
        <v>63</v>
      </c>
      <c r="C11" s="12">
        <v>2</v>
      </c>
      <c r="D11" s="14"/>
      <c r="E11" s="8">
        <f t="shared" si="0"/>
        <v>0</v>
      </c>
    </row>
    <row r="12" spans="2:6" ht="37.5" customHeight="1" x14ac:dyDescent="0.25">
      <c r="B12" s="18" t="s">
        <v>64</v>
      </c>
      <c r="C12" s="12">
        <v>2</v>
      </c>
      <c r="D12" s="14"/>
      <c r="E12" s="8">
        <f t="shared" si="0"/>
        <v>0</v>
      </c>
    </row>
    <row r="13" spans="2:6" s="10" customFormat="1" ht="27" customHeight="1" thickBot="1" x14ac:dyDescent="0.3">
      <c r="B13" s="19" t="s">
        <v>65</v>
      </c>
      <c r="C13" s="13">
        <v>2</v>
      </c>
      <c r="D13" s="15"/>
      <c r="E13" s="9">
        <f t="shared" si="0"/>
        <v>0</v>
      </c>
    </row>
    <row r="14" spans="2:6" ht="24" customHeight="1" thickBot="1" x14ac:dyDescent="0.3">
      <c r="B14" s="51"/>
      <c r="C14" s="52"/>
      <c r="D14" s="53" t="s">
        <v>150</v>
      </c>
      <c r="E14" s="47">
        <f>SUBTOTAL(109,PORTEIROS3369[PONTOS])</f>
        <v>0</v>
      </c>
    </row>
    <row r="15" spans="2:6" ht="17.25" customHeight="1" thickBot="1" x14ac:dyDescent="0.3"/>
    <row r="16" spans="2:6" ht="27" customHeight="1" thickBot="1" x14ac:dyDescent="0.3">
      <c r="B16" s="128" t="s">
        <v>156</v>
      </c>
      <c r="C16" s="130"/>
      <c r="D16" s="92" t="s">
        <v>176</v>
      </c>
      <c r="E16" s="110"/>
    </row>
    <row r="17" spans="2:5" ht="29.25" customHeight="1" thickBot="1" x14ac:dyDescent="0.3">
      <c r="B17" s="59" t="s">
        <v>0</v>
      </c>
      <c r="C17" s="2" t="s">
        <v>5</v>
      </c>
      <c r="D17" s="59" t="s">
        <v>205</v>
      </c>
      <c r="E17" s="2" t="s">
        <v>1</v>
      </c>
    </row>
    <row r="18" spans="2:5" ht="36.75" customHeight="1" x14ac:dyDescent="0.25">
      <c r="B18" s="17" t="s">
        <v>49</v>
      </c>
      <c r="C18" s="11">
        <v>1</v>
      </c>
      <c r="D18" s="16"/>
      <c r="E18" s="7">
        <f t="shared" ref="E18:E23" si="1">C18*D18</f>
        <v>0</v>
      </c>
    </row>
    <row r="19" spans="2:5" ht="36.75" customHeight="1" x14ac:dyDescent="0.25">
      <c r="B19" s="18" t="s">
        <v>50</v>
      </c>
      <c r="C19" s="12">
        <v>1</v>
      </c>
      <c r="D19" s="14"/>
      <c r="E19" s="8">
        <f t="shared" si="1"/>
        <v>0</v>
      </c>
    </row>
    <row r="20" spans="2:5" ht="36.75" customHeight="1" x14ac:dyDescent="0.25">
      <c r="B20" s="18" t="s">
        <v>66</v>
      </c>
      <c r="C20" s="12">
        <v>2</v>
      </c>
      <c r="D20" s="14"/>
      <c r="E20" s="8">
        <f t="shared" si="1"/>
        <v>0</v>
      </c>
    </row>
    <row r="21" spans="2:5" ht="36.75" customHeight="1" x14ac:dyDescent="0.25">
      <c r="B21" s="18" t="s">
        <v>67</v>
      </c>
      <c r="C21" s="12">
        <v>2</v>
      </c>
      <c r="D21" s="14"/>
      <c r="E21" s="8">
        <f t="shared" si="1"/>
        <v>0</v>
      </c>
    </row>
    <row r="22" spans="2:5" s="10" customFormat="1" ht="36.75" customHeight="1" x14ac:dyDescent="0.25">
      <c r="B22" s="18" t="s">
        <v>68</v>
      </c>
      <c r="C22" s="12">
        <v>2</v>
      </c>
      <c r="D22" s="14"/>
      <c r="E22" s="8">
        <f t="shared" si="1"/>
        <v>0</v>
      </c>
    </row>
    <row r="23" spans="2:5" ht="33" customHeight="1" thickBot="1" x14ac:dyDescent="0.3">
      <c r="B23" s="19" t="s">
        <v>69</v>
      </c>
      <c r="C23" s="13">
        <v>2</v>
      </c>
      <c r="D23" s="15"/>
      <c r="E23" s="9">
        <f t="shared" si="1"/>
        <v>0</v>
      </c>
    </row>
    <row r="24" spans="2:5" ht="24.75" customHeight="1" thickBot="1" x14ac:dyDescent="0.3">
      <c r="B24" s="51"/>
      <c r="C24" s="52"/>
      <c r="D24" s="53" t="s">
        <v>150</v>
      </c>
      <c r="E24" s="47">
        <f>SUBTOTAL(109,RECEPCIONISTAS3470[PONTOS])</f>
        <v>0</v>
      </c>
    </row>
    <row r="25" spans="2:5" ht="16.5" customHeight="1" thickBot="1" x14ac:dyDescent="0.3"/>
    <row r="26" spans="2:5" ht="33" customHeight="1" thickBot="1" x14ac:dyDescent="0.3">
      <c r="B26" s="128" t="s">
        <v>160</v>
      </c>
      <c r="C26" s="130"/>
      <c r="D26" s="92" t="s">
        <v>176</v>
      </c>
      <c r="E26" s="110"/>
    </row>
    <row r="27" spans="2:5" ht="37.5" customHeight="1" thickBot="1" x14ac:dyDescent="0.3">
      <c r="B27" s="108" t="s">
        <v>0</v>
      </c>
      <c r="C27" s="28" t="s">
        <v>5</v>
      </c>
      <c r="D27" s="59" t="s">
        <v>205</v>
      </c>
      <c r="E27" s="2" t="s">
        <v>1</v>
      </c>
    </row>
    <row r="28" spans="2:5" s="10" customFormat="1" ht="35.25" customHeight="1" x14ac:dyDescent="0.25">
      <c r="B28" s="17" t="s">
        <v>49</v>
      </c>
      <c r="C28" s="11">
        <v>1</v>
      </c>
      <c r="D28" s="16"/>
      <c r="E28" s="7">
        <f>C28*D28</f>
        <v>0</v>
      </c>
    </row>
    <row r="29" spans="2:5" ht="35.25" customHeight="1" x14ac:dyDescent="0.25">
      <c r="B29" s="18" t="s">
        <v>50</v>
      </c>
      <c r="C29" s="12">
        <v>1</v>
      </c>
      <c r="D29" s="14"/>
      <c r="E29" s="8">
        <f>C29*D29</f>
        <v>0</v>
      </c>
    </row>
    <row r="30" spans="2:5" ht="24.75" customHeight="1" x14ac:dyDescent="0.25">
      <c r="B30" s="18" t="s">
        <v>78</v>
      </c>
      <c r="C30" s="12">
        <v>2</v>
      </c>
      <c r="D30" s="14"/>
      <c r="E30" s="8">
        <f>C30*D30</f>
        <v>0</v>
      </c>
    </row>
    <row r="31" spans="2:5" ht="24.75" customHeight="1" x14ac:dyDescent="0.25">
      <c r="B31" s="18" t="s">
        <v>79</v>
      </c>
      <c r="C31" s="12">
        <v>2</v>
      </c>
      <c r="D31" s="14"/>
      <c r="E31" s="8">
        <f>C31*D31</f>
        <v>0</v>
      </c>
    </row>
    <row r="32" spans="2:5" ht="36.75" customHeight="1" thickBot="1" x14ac:dyDescent="0.3">
      <c r="B32" s="19" t="s">
        <v>80</v>
      </c>
      <c r="C32" s="13">
        <v>2</v>
      </c>
      <c r="D32" s="15"/>
      <c r="E32" s="8">
        <f>C32*D32</f>
        <v>0</v>
      </c>
    </row>
    <row r="33" spans="2:14" ht="24" customHeight="1" thickBot="1" x14ac:dyDescent="0.3">
      <c r="B33" s="51"/>
      <c r="C33" s="52"/>
      <c r="D33" s="53" t="s">
        <v>150</v>
      </c>
      <c r="E33" s="47">
        <f>SUBTOTAL(109,COPEIROS3773[PONTOS])</f>
        <v>0</v>
      </c>
    </row>
    <row r="34" spans="2:14" ht="15.75" customHeight="1" thickBot="1" x14ac:dyDescent="0.3"/>
    <row r="35" spans="2:14" ht="31.5" customHeight="1" thickBot="1" x14ac:dyDescent="0.3">
      <c r="B35" s="128" t="s">
        <v>161</v>
      </c>
      <c r="C35" s="130"/>
      <c r="D35" s="92" t="s">
        <v>176</v>
      </c>
      <c r="E35" s="110"/>
    </row>
    <row r="36" spans="2:14" s="10" customFormat="1" ht="35.25" customHeight="1" thickBot="1" x14ac:dyDescent="0.3">
      <c r="B36" s="108" t="s">
        <v>0</v>
      </c>
      <c r="C36" s="28" t="s">
        <v>5</v>
      </c>
      <c r="D36" s="59" t="s">
        <v>149</v>
      </c>
      <c r="E36" s="2" t="s">
        <v>1</v>
      </c>
    </row>
    <row r="37" spans="2:14" ht="36" customHeight="1" x14ac:dyDescent="0.25">
      <c r="B37" s="17" t="s">
        <v>49</v>
      </c>
      <c r="C37" s="11">
        <v>1</v>
      </c>
      <c r="D37" s="16"/>
      <c r="E37" s="7">
        <f>C37*D37</f>
        <v>0</v>
      </c>
    </row>
    <row r="38" spans="2:14" ht="36" customHeight="1" x14ac:dyDescent="0.25">
      <c r="B38" s="18" t="s">
        <v>50</v>
      </c>
      <c r="C38" s="12">
        <v>1</v>
      </c>
      <c r="D38" s="14"/>
      <c r="E38" s="8">
        <f>C38*D38</f>
        <v>0</v>
      </c>
    </row>
    <row r="39" spans="2:14" ht="20.25" customHeight="1" x14ac:dyDescent="0.25">
      <c r="B39" s="18" t="s">
        <v>81</v>
      </c>
      <c r="C39" s="12">
        <v>2</v>
      </c>
      <c r="D39" s="14"/>
      <c r="E39" s="8">
        <f>C39*D39</f>
        <v>0</v>
      </c>
    </row>
    <row r="40" spans="2:14" ht="20.25" customHeight="1" x14ac:dyDescent="0.25">
      <c r="B40" s="18" t="s">
        <v>82</v>
      </c>
      <c r="C40" s="12">
        <v>2</v>
      </c>
      <c r="D40" s="14"/>
      <c r="E40" s="8">
        <f>C40*D40</f>
        <v>0</v>
      </c>
    </row>
    <row r="41" spans="2:14" ht="20.25" customHeight="1" thickBot="1" x14ac:dyDescent="0.3">
      <c r="B41" s="19" t="s">
        <v>83</v>
      </c>
      <c r="C41" s="13">
        <v>2</v>
      </c>
      <c r="D41" s="15"/>
      <c r="E41" s="8">
        <f>C41*D41</f>
        <v>0</v>
      </c>
    </row>
    <row r="42" spans="2:14" ht="39.75" customHeight="1" thickBot="1" x14ac:dyDescent="0.3">
      <c r="B42" s="51"/>
      <c r="C42" s="52"/>
      <c r="D42" s="53" t="s">
        <v>150</v>
      </c>
      <c r="E42" s="47">
        <f>SUBTOTAL(109,CONTROLADOR_ACESSO3874[PONTOS])</f>
        <v>0</v>
      </c>
    </row>
    <row r="43" spans="2:14" ht="10.5" customHeight="1" thickBot="1" x14ac:dyDescent="0.3"/>
    <row r="44" spans="2:14" ht="30.75" customHeight="1" thickBot="1" x14ac:dyDescent="0.3">
      <c r="B44" s="139" t="s">
        <v>207</v>
      </c>
      <c r="C44" s="140"/>
      <c r="D44" s="2" t="s">
        <v>189</v>
      </c>
      <c r="E44" s="2" t="s">
        <v>190</v>
      </c>
    </row>
    <row r="45" spans="2:14" ht="19.5" customHeight="1" thickBot="1" x14ac:dyDescent="0.3">
      <c r="B45" s="141"/>
      <c r="C45" s="142"/>
      <c r="D45" s="108">
        <f>E35+E26+E16+E6</f>
        <v>0</v>
      </c>
      <c r="E45" s="28">
        <f>SUM(CONTROLADOR_ACESSO3874[[#Totals],[PONTOS]]+COPEIROS3773[[#Totals],[PONTOS]]+RECEPCIONISTAS3470[[#Totals],[PONTOS]]+PORTEIROS3369[[#Totals],[PONTOS]])</f>
        <v>0</v>
      </c>
    </row>
    <row r="46" spans="2:14" ht="15.75" thickBot="1" x14ac:dyDescent="0.3"/>
    <row r="47" spans="2:14" ht="50.25" customHeight="1" thickBot="1" x14ac:dyDescent="0.3">
      <c r="B47" s="133" t="s">
        <v>198</v>
      </c>
      <c r="C47" s="134"/>
      <c r="D47" s="134"/>
      <c r="E47" s="122" t="str">
        <f>B4</f>
        <v>BLOCO 2 - POSTOS COM DOTAÇÃO ORÇAMENTÁRIA: 3390-37.04 - COPA E PORTARIA</v>
      </c>
      <c r="F47" s="122"/>
      <c r="G47" s="122"/>
      <c r="H47" s="122"/>
      <c r="I47" s="122"/>
      <c r="J47" s="122"/>
      <c r="K47" s="122"/>
      <c r="L47" s="122"/>
      <c r="M47" s="135"/>
      <c r="N47" s="20"/>
    </row>
    <row r="48" spans="2:14" ht="24.75" customHeight="1" thickBot="1" x14ac:dyDescent="0.3">
      <c r="B48" s="131" t="s">
        <v>133</v>
      </c>
      <c r="C48" s="131" t="s">
        <v>178</v>
      </c>
      <c r="D48" s="131" t="s">
        <v>148</v>
      </c>
      <c r="E48" s="131" t="s">
        <v>134</v>
      </c>
      <c r="F48" s="131" t="s">
        <v>191</v>
      </c>
      <c r="G48" s="131" t="s">
        <v>174</v>
      </c>
      <c r="H48" s="131" t="s">
        <v>135</v>
      </c>
      <c r="I48" s="136" t="s">
        <v>136</v>
      </c>
      <c r="J48" s="137"/>
      <c r="K48" s="137"/>
      <c r="L48" s="138"/>
      <c r="M48" s="131" t="s">
        <v>141</v>
      </c>
      <c r="N48" s="20"/>
    </row>
    <row r="49" spans="2:20" ht="34.5" customHeight="1" thickBot="1" x14ac:dyDescent="0.3">
      <c r="B49" s="132"/>
      <c r="C49" s="132"/>
      <c r="D49" s="132"/>
      <c r="E49" s="132"/>
      <c r="F49" s="132"/>
      <c r="G49" s="132"/>
      <c r="H49" s="132"/>
      <c r="I49" s="109" t="s">
        <v>137</v>
      </c>
      <c r="J49" s="109" t="s">
        <v>138</v>
      </c>
      <c r="K49" s="109" t="s">
        <v>139</v>
      </c>
      <c r="L49" s="58" t="s">
        <v>140</v>
      </c>
      <c r="M49" s="132"/>
      <c r="N49" s="20"/>
      <c r="R49" s="65"/>
      <c r="S49" s="65"/>
      <c r="T49" s="65"/>
    </row>
    <row r="50" spans="2:20" ht="87" hidden="1" customHeight="1" x14ac:dyDescent="0.3">
      <c r="B50" s="58" t="s">
        <v>6</v>
      </c>
      <c r="C50" s="58" t="s">
        <v>177</v>
      </c>
      <c r="D50" s="58" t="s">
        <v>148</v>
      </c>
      <c r="E50" s="58" t="s">
        <v>4</v>
      </c>
      <c r="F50" s="58" t="s">
        <v>3</v>
      </c>
      <c r="G50" s="58" t="s">
        <v>175</v>
      </c>
      <c r="H50" s="46" t="s">
        <v>129</v>
      </c>
      <c r="I50" s="58" t="s">
        <v>130</v>
      </c>
      <c r="J50" s="58" t="s">
        <v>131</v>
      </c>
      <c r="K50" s="58" t="s">
        <v>132</v>
      </c>
      <c r="L50" s="58" t="s">
        <v>126</v>
      </c>
      <c r="M50" s="58" t="s">
        <v>2</v>
      </c>
      <c r="N50" s="20"/>
      <c r="R50" s="65"/>
      <c r="S50" s="65"/>
      <c r="T50" s="65"/>
    </row>
    <row r="51" spans="2:20" ht="18.75" x14ac:dyDescent="0.25">
      <c r="B51" s="67"/>
      <c r="C51" s="39"/>
      <c r="D51" s="39"/>
      <c r="E51" s="40"/>
      <c r="F51" s="41"/>
      <c r="G51" s="54">
        <f>Dotação_37.04[[#This Row],[VALOR DO POSTO]]*Dotação_37.04[[#This Row],[Quantidade]]</f>
        <v>0</v>
      </c>
      <c r="H51" s="42">
        <f t="shared" ref="H51:H71" si="2">IF(E51=20,4,IF(OR(E51=30,E51=36),6,IF(OR(E51=40,E51=44,E51=48),8,IF(OR(E51="12x36",E51="12-SDF"),12,1))))</f>
        <v>1</v>
      </c>
      <c r="I51" s="43"/>
      <c r="J51" s="43"/>
      <c r="K51" s="43"/>
      <c r="L51" s="44">
        <f>((Dotação_37.04[[#This Row],[DIAS]]*H51)*60)+(Dotação_37.04[[#This Row],[HORAS]]*60)+Dotação_37.04[[#This Row],[MINUTOS]]</f>
        <v>0</v>
      </c>
      <c r="M51" s="45">
        <f t="shared" ref="M51:M71" si="3">IF(E51=20,F51/6000*L51,IF(E51=30,F51/9000*L51,IF(E51=36,F51/10800*L51,IF(E51=40,F51/12000*L51,IF(E51=44,F51/13200*L51,IF(E51=48,F51/14400*L51,IF(E51="12x36",F51/21600*L51,IF(E51="12-SDF",F51/5760*L51,0))))))))</f>
        <v>0</v>
      </c>
      <c r="N51" s="21"/>
      <c r="Q51" s="65"/>
      <c r="R51" s="65"/>
      <c r="S51" s="65"/>
      <c r="T51" s="65"/>
    </row>
    <row r="52" spans="2:20" ht="17.25" x14ac:dyDescent="0.25">
      <c r="B52" s="68"/>
      <c r="C52" s="33"/>
      <c r="D52" s="29"/>
      <c r="E52" s="30"/>
      <c r="F52" s="31"/>
      <c r="G52" s="54">
        <f>Dotação_37.04[[#This Row],[VALOR DO POSTO]]*Dotação_37.04[[#This Row],[Quantidade]]</f>
        <v>0</v>
      </c>
      <c r="H52" s="42">
        <f t="shared" si="2"/>
        <v>1</v>
      </c>
      <c r="I52" s="32"/>
      <c r="J52" s="32"/>
      <c r="K52" s="32"/>
      <c r="L52" s="37">
        <f>((Dotação_37.04[[#This Row],[DIAS]]*H52)*60)+(Dotação_37.04[[#This Row],[HORAS]]*60)+Dotação_37.04[[#This Row],[MINUTOS]]</f>
        <v>0</v>
      </c>
      <c r="M52" s="45">
        <f t="shared" si="3"/>
        <v>0</v>
      </c>
      <c r="Q52" s="65"/>
      <c r="R52" s="65"/>
      <c r="S52" s="65"/>
      <c r="T52" s="65"/>
    </row>
    <row r="53" spans="2:20" ht="17.25" x14ac:dyDescent="0.25">
      <c r="B53" s="69"/>
      <c r="C53" s="29"/>
      <c r="D53" s="33"/>
      <c r="E53" s="34"/>
      <c r="F53" s="35"/>
      <c r="G53" s="55">
        <f>Dotação_37.04[[#This Row],[VALOR DO POSTO]]*Dotação_37.04[[#This Row],[Quantidade]]</f>
        <v>0</v>
      </c>
      <c r="H53" s="42">
        <f t="shared" si="2"/>
        <v>1</v>
      </c>
      <c r="I53" s="36"/>
      <c r="J53" s="36"/>
      <c r="K53" s="36"/>
      <c r="L53" s="37">
        <f>((Dotação_37.04[[#This Row],[DIAS]]*H53)*60)+(Dotação_37.04[[#This Row],[HORAS]]*60)+Dotação_37.04[[#This Row],[MINUTOS]]</f>
        <v>0</v>
      </c>
      <c r="M53" s="45">
        <f t="shared" si="3"/>
        <v>0</v>
      </c>
      <c r="Q53" s="65"/>
      <c r="R53" s="65"/>
      <c r="S53" s="65"/>
      <c r="T53" s="65"/>
    </row>
    <row r="54" spans="2:20" ht="17.25" x14ac:dyDescent="0.25">
      <c r="B54" s="69"/>
      <c r="C54" s="33"/>
      <c r="D54" s="29"/>
      <c r="E54" s="30"/>
      <c r="F54" s="31"/>
      <c r="G54" s="55">
        <f>Dotação_37.04[[#This Row],[VALOR DO POSTO]]*Dotação_37.04[[#This Row],[Quantidade]]</f>
        <v>0</v>
      </c>
      <c r="H54" s="42">
        <f t="shared" si="2"/>
        <v>1</v>
      </c>
      <c r="I54" s="32"/>
      <c r="J54" s="32"/>
      <c r="K54" s="32"/>
      <c r="L54" s="37">
        <f>((Dotação_37.04[[#This Row],[DIAS]]*H54)*60)+(Dotação_37.04[[#This Row],[HORAS]]*60)+Dotação_37.04[[#This Row],[MINUTOS]]</f>
        <v>0</v>
      </c>
      <c r="M54" s="45">
        <f t="shared" si="3"/>
        <v>0</v>
      </c>
      <c r="R54" s="65"/>
      <c r="S54" s="65"/>
      <c r="T54" s="65"/>
    </row>
    <row r="55" spans="2:20" ht="17.25" x14ac:dyDescent="0.25">
      <c r="B55" s="69"/>
      <c r="C55" s="29"/>
      <c r="D55" s="29"/>
      <c r="E55" s="30"/>
      <c r="F55" s="31"/>
      <c r="G55" s="55">
        <f>Dotação_37.04[[#This Row],[VALOR DO POSTO]]*Dotação_37.04[[#This Row],[Quantidade]]</f>
        <v>0</v>
      </c>
      <c r="H55" s="42">
        <f t="shared" si="2"/>
        <v>1</v>
      </c>
      <c r="I55" s="32"/>
      <c r="J55" s="32"/>
      <c r="K55" s="32"/>
      <c r="L55" s="37">
        <f>((Dotação_37.04[[#This Row],[DIAS]]*H55)*60)+(Dotação_37.04[[#This Row],[HORAS]]*60)+Dotação_37.04[[#This Row],[MINUTOS]]</f>
        <v>0</v>
      </c>
      <c r="M55" s="45">
        <f t="shared" si="3"/>
        <v>0</v>
      </c>
    </row>
    <row r="56" spans="2:20" ht="17.25" x14ac:dyDescent="0.25">
      <c r="B56" s="69"/>
      <c r="C56" s="29"/>
      <c r="D56" s="29"/>
      <c r="E56" s="30"/>
      <c r="F56" s="31"/>
      <c r="G56" s="55">
        <f>Dotação_37.04[[#This Row],[VALOR DO POSTO]]*Dotação_37.04[[#This Row],[Quantidade]]</f>
        <v>0</v>
      </c>
      <c r="H56" s="42">
        <f t="shared" si="2"/>
        <v>1</v>
      </c>
      <c r="I56" s="32"/>
      <c r="J56" s="32"/>
      <c r="K56" s="32"/>
      <c r="L56" s="37">
        <f>((Dotação_37.04[[#This Row],[DIAS]]*H56)*60)+(Dotação_37.04[[#This Row],[HORAS]]*60)+Dotação_37.04[[#This Row],[MINUTOS]]</f>
        <v>0</v>
      </c>
      <c r="M56" s="45">
        <f t="shared" si="3"/>
        <v>0</v>
      </c>
    </row>
    <row r="57" spans="2:20" ht="17.25" x14ac:dyDescent="0.25">
      <c r="B57" s="29"/>
      <c r="C57" s="61"/>
      <c r="D57" s="29"/>
      <c r="E57" s="30"/>
      <c r="F57" s="31"/>
      <c r="G57" s="55">
        <f>Dotação_37.04[[#This Row],[VALOR DO POSTO]]*Dotação_37.04[[#This Row],[Quantidade]]</f>
        <v>0</v>
      </c>
      <c r="H57" s="42">
        <f t="shared" si="2"/>
        <v>1</v>
      </c>
      <c r="I57" s="32"/>
      <c r="J57" s="32"/>
      <c r="K57" s="32"/>
      <c r="L57" s="37">
        <f>((Dotação_37.04[[#This Row],[DIAS]]*H57)*60)+(Dotação_37.04[[#This Row],[HORAS]]*60)+Dotação_37.04[[#This Row],[MINUTOS]]</f>
        <v>0</v>
      </c>
      <c r="M57" s="45">
        <f t="shared" si="3"/>
        <v>0</v>
      </c>
    </row>
    <row r="58" spans="2:20" ht="17.25" x14ac:dyDescent="0.25">
      <c r="B58" s="29"/>
      <c r="C58" s="61"/>
      <c r="D58" s="29"/>
      <c r="E58" s="30"/>
      <c r="F58" s="31"/>
      <c r="G58" s="55">
        <f>Dotação_37.04[[#This Row],[VALOR DO POSTO]]*Dotação_37.04[[#This Row],[Quantidade]]</f>
        <v>0</v>
      </c>
      <c r="H58" s="42">
        <f t="shared" si="2"/>
        <v>1</v>
      </c>
      <c r="I58" s="32"/>
      <c r="J58" s="32"/>
      <c r="K58" s="32"/>
      <c r="L58" s="37">
        <f>((Dotação_37.04[[#This Row],[DIAS]]*H58)*60)+(Dotação_37.04[[#This Row],[HORAS]]*60)+Dotação_37.04[[#This Row],[MINUTOS]]</f>
        <v>0</v>
      </c>
      <c r="M58" s="45">
        <f t="shared" si="3"/>
        <v>0</v>
      </c>
    </row>
    <row r="59" spans="2:20" ht="17.25" x14ac:dyDescent="0.25">
      <c r="B59" s="29"/>
      <c r="C59" s="61"/>
      <c r="D59" s="29"/>
      <c r="E59" s="30"/>
      <c r="F59" s="31"/>
      <c r="G59" s="55">
        <f>Dotação_37.04[[#This Row],[VALOR DO POSTO]]*Dotação_37.04[[#This Row],[Quantidade]]</f>
        <v>0</v>
      </c>
      <c r="H59" s="42">
        <f t="shared" si="2"/>
        <v>1</v>
      </c>
      <c r="I59" s="32"/>
      <c r="J59" s="32"/>
      <c r="K59" s="32"/>
      <c r="L59" s="37">
        <f>((Dotação_37.04[[#This Row],[DIAS]]*H59)*60)+(Dotação_37.04[[#This Row],[HORAS]]*60)+Dotação_37.04[[#This Row],[MINUTOS]]</f>
        <v>0</v>
      </c>
      <c r="M59" s="45">
        <f t="shared" si="3"/>
        <v>0</v>
      </c>
    </row>
    <row r="60" spans="2:20" ht="17.25" x14ac:dyDescent="0.25">
      <c r="B60" s="29"/>
      <c r="C60" s="61"/>
      <c r="D60" s="29"/>
      <c r="E60" s="30"/>
      <c r="F60" s="31"/>
      <c r="G60" s="55">
        <f>Dotação_37.04[[#This Row],[VALOR DO POSTO]]*Dotação_37.04[[#This Row],[Quantidade]]</f>
        <v>0</v>
      </c>
      <c r="H60" s="42">
        <f t="shared" si="2"/>
        <v>1</v>
      </c>
      <c r="I60" s="32"/>
      <c r="J60" s="32"/>
      <c r="K60" s="32"/>
      <c r="L60" s="37">
        <f>((Dotação_37.04[[#This Row],[DIAS]]*H60)*60)+(Dotação_37.04[[#This Row],[HORAS]]*60)+Dotação_37.04[[#This Row],[MINUTOS]]</f>
        <v>0</v>
      </c>
      <c r="M60" s="45">
        <f t="shared" si="3"/>
        <v>0</v>
      </c>
    </row>
    <row r="61" spans="2:20" ht="17.25" x14ac:dyDescent="0.25">
      <c r="B61" s="29"/>
      <c r="C61" s="61"/>
      <c r="D61" s="29"/>
      <c r="E61" s="30"/>
      <c r="F61" s="31"/>
      <c r="G61" s="55">
        <f>Dotação_37.04[[#This Row],[VALOR DO POSTO]]*Dotação_37.04[[#This Row],[Quantidade]]</f>
        <v>0</v>
      </c>
      <c r="H61" s="42">
        <f t="shared" si="2"/>
        <v>1</v>
      </c>
      <c r="I61" s="32"/>
      <c r="J61" s="32"/>
      <c r="K61" s="32"/>
      <c r="L61" s="37">
        <f>((Dotação_37.04[[#This Row],[DIAS]]*H61)*60)+(Dotação_37.04[[#This Row],[HORAS]]*60)+Dotação_37.04[[#This Row],[MINUTOS]]</f>
        <v>0</v>
      </c>
      <c r="M61" s="45">
        <f t="shared" si="3"/>
        <v>0</v>
      </c>
    </row>
    <row r="62" spans="2:20" ht="17.25" x14ac:dyDescent="0.25">
      <c r="B62" s="29"/>
      <c r="C62" s="61"/>
      <c r="D62" s="29"/>
      <c r="E62" s="30"/>
      <c r="F62" s="31"/>
      <c r="G62" s="55">
        <f>Dotação_37.04[[#This Row],[VALOR DO POSTO]]*Dotação_37.04[[#This Row],[Quantidade]]</f>
        <v>0</v>
      </c>
      <c r="H62" s="42">
        <f t="shared" si="2"/>
        <v>1</v>
      </c>
      <c r="I62" s="32"/>
      <c r="J62" s="32"/>
      <c r="K62" s="32"/>
      <c r="L62" s="37">
        <f>((Dotação_37.04[[#This Row],[DIAS]]*H62)*60)+(Dotação_37.04[[#This Row],[HORAS]]*60)+Dotação_37.04[[#This Row],[MINUTOS]]</f>
        <v>0</v>
      </c>
      <c r="M62" s="45">
        <f t="shared" si="3"/>
        <v>0</v>
      </c>
    </row>
    <row r="63" spans="2:20" ht="17.25" x14ac:dyDescent="0.25">
      <c r="B63" s="29"/>
      <c r="C63" s="61"/>
      <c r="D63" s="29"/>
      <c r="E63" s="30"/>
      <c r="F63" s="31"/>
      <c r="G63" s="55">
        <f>Dotação_37.04[[#This Row],[VALOR DO POSTO]]*Dotação_37.04[[#This Row],[Quantidade]]</f>
        <v>0</v>
      </c>
      <c r="H63" s="42">
        <f t="shared" si="2"/>
        <v>1</v>
      </c>
      <c r="I63" s="32"/>
      <c r="J63" s="32"/>
      <c r="K63" s="32"/>
      <c r="L63" s="37">
        <f>((Dotação_37.04[[#This Row],[DIAS]]*H63)*60)+(Dotação_37.04[[#This Row],[HORAS]]*60)+Dotação_37.04[[#This Row],[MINUTOS]]</f>
        <v>0</v>
      </c>
      <c r="M63" s="45">
        <f t="shared" si="3"/>
        <v>0</v>
      </c>
    </row>
    <row r="64" spans="2:20" ht="17.25" x14ac:dyDescent="0.25">
      <c r="B64" s="29"/>
      <c r="C64" s="61"/>
      <c r="D64" s="29"/>
      <c r="E64" s="30"/>
      <c r="F64" s="31"/>
      <c r="G64" s="55">
        <f>Dotação_37.04[[#This Row],[VALOR DO POSTO]]*Dotação_37.04[[#This Row],[Quantidade]]</f>
        <v>0</v>
      </c>
      <c r="H64" s="42">
        <f t="shared" si="2"/>
        <v>1</v>
      </c>
      <c r="I64" s="32"/>
      <c r="J64" s="32"/>
      <c r="K64" s="32"/>
      <c r="L64" s="37">
        <f>((Dotação_37.04[[#This Row],[DIAS]]*H64)*60)+(Dotação_37.04[[#This Row],[HORAS]]*60)+Dotação_37.04[[#This Row],[MINUTOS]]</f>
        <v>0</v>
      </c>
      <c r="M64" s="45">
        <f t="shared" si="3"/>
        <v>0</v>
      </c>
    </row>
    <row r="65" spans="2:13" ht="17.25" x14ac:dyDescent="0.25">
      <c r="B65" s="29"/>
      <c r="C65" s="61"/>
      <c r="D65" s="29"/>
      <c r="E65" s="30"/>
      <c r="F65" s="31"/>
      <c r="G65" s="55">
        <f>Dotação_37.04[[#This Row],[VALOR DO POSTO]]*Dotação_37.04[[#This Row],[Quantidade]]</f>
        <v>0</v>
      </c>
      <c r="H65" s="42">
        <f t="shared" si="2"/>
        <v>1</v>
      </c>
      <c r="I65" s="32"/>
      <c r="J65" s="32"/>
      <c r="K65" s="32"/>
      <c r="L65" s="37">
        <f>((Dotação_37.04[[#This Row],[DIAS]]*H65)*60)+(Dotação_37.04[[#This Row],[HORAS]]*60)+Dotação_37.04[[#This Row],[MINUTOS]]</f>
        <v>0</v>
      </c>
      <c r="M65" s="45">
        <f t="shared" si="3"/>
        <v>0</v>
      </c>
    </row>
    <row r="66" spans="2:13" ht="17.25" x14ac:dyDescent="0.25">
      <c r="B66" s="29"/>
      <c r="C66" s="61"/>
      <c r="D66" s="29"/>
      <c r="E66" s="30"/>
      <c r="F66" s="31"/>
      <c r="G66" s="55">
        <f>Dotação_37.04[[#This Row],[VALOR DO POSTO]]*Dotação_37.04[[#This Row],[Quantidade]]</f>
        <v>0</v>
      </c>
      <c r="H66" s="42">
        <f t="shared" si="2"/>
        <v>1</v>
      </c>
      <c r="I66" s="32"/>
      <c r="J66" s="32"/>
      <c r="K66" s="32"/>
      <c r="L66" s="37">
        <f>((Dotação_37.04[[#This Row],[DIAS]]*H66)*60)+(Dotação_37.04[[#This Row],[HORAS]]*60)+Dotação_37.04[[#This Row],[MINUTOS]]</f>
        <v>0</v>
      </c>
      <c r="M66" s="45">
        <f t="shared" si="3"/>
        <v>0</v>
      </c>
    </row>
    <row r="67" spans="2:13" ht="17.25" x14ac:dyDescent="0.25">
      <c r="B67" s="29"/>
      <c r="C67" s="61"/>
      <c r="D67" s="29"/>
      <c r="E67" s="30"/>
      <c r="F67" s="31"/>
      <c r="G67" s="55">
        <f>Dotação_37.04[[#This Row],[VALOR DO POSTO]]*Dotação_37.04[[#This Row],[Quantidade]]</f>
        <v>0</v>
      </c>
      <c r="H67" s="42">
        <f t="shared" si="2"/>
        <v>1</v>
      </c>
      <c r="I67" s="32"/>
      <c r="J67" s="32"/>
      <c r="K67" s="32"/>
      <c r="L67" s="37">
        <f>((Dotação_37.04[[#This Row],[DIAS]]*H67)*60)+(Dotação_37.04[[#This Row],[HORAS]]*60)+Dotação_37.04[[#This Row],[MINUTOS]]</f>
        <v>0</v>
      </c>
      <c r="M67" s="45">
        <f t="shared" si="3"/>
        <v>0</v>
      </c>
    </row>
    <row r="68" spans="2:13" ht="17.25" x14ac:dyDescent="0.25">
      <c r="B68" s="29"/>
      <c r="C68" s="61"/>
      <c r="D68" s="29"/>
      <c r="E68" s="30"/>
      <c r="F68" s="31"/>
      <c r="G68" s="55">
        <f>Dotação_37.04[[#This Row],[VALOR DO POSTO]]*Dotação_37.04[[#This Row],[Quantidade]]</f>
        <v>0</v>
      </c>
      <c r="H68" s="42">
        <f t="shared" si="2"/>
        <v>1</v>
      </c>
      <c r="I68" s="32"/>
      <c r="J68" s="32"/>
      <c r="K68" s="32"/>
      <c r="L68" s="37">
        <f>((Dotação_37.04[[#This Row],[DIAS]]*H68)*60)+(Dotação_37.04[[#This Row],[HORAS]]*60)+Dotação_37.04[[#This Row],[MINUTOS]]</f>
        <v>0</v>
      </c>
      <c r="M68" s="45">
        <f t="shared" si="3"/>
        <v>0</v>
      </c>
    </row>
    <row r="69" spans="2:13" ht="17.25" x14ac:dyDescent="0.25">
      <c r="B69" s="29"/>
      <c r="C69" s="61"/>
      <c r="D69" s="29"/>
      <c r="E69" s="30"/>
      <c r="F69" s="31"/>
      <c r="G69" s="55">
        <f>Dotação_37.04[[#This Row],[VALOR DO POSTO]]*Dotação_37.04[[#This Row],[Quantidade]]</f>
        <v>0</v>
      </c>
      <c r="H69" s="42">
        <f t="shared" si="2"/>
        <v>1</v>
      </c>
      <c r="I69" s="32"/>
      <c r="J69" s="32"/>
      <c r="K69" s="32"/>
      <c r="L69" s="37">
        <f>((Dotação_37.04[[#This Row],[DIAS]]*H69)*60)+(Dotação_37.04[[#This Row],[HORAS]]*60)+Dotação_37.04[[#This Row],[MINUTOS]]</f>
        <v>0</v>
      </c>
      <c r="M69" s="45">
        <f t="shared" si="3"/>
        <v>0</v>
      </c>
    </row>
    <row r="70" spans="2:13" ht="17.25" x14ac:dyDescent="0.25">
      <c r="B70" s="33"/>
      <c r="C70" s="62"/>
      <c r="D70" s="33"/>
      <c r="E70" s="34"/>
      <c r="F70" s="35"/>
      <c r="G70" s="56">
        <f>Dotação_37.04[[#This Row],[VALOR DO POSTO]]*Dotação_37.04[[#This Row],[Quantidade]]</f>
        <v>0</v>
      </c>
      <c r="H70" s="42">
        <f t="shared" si="2"/>
        <v>1</v>
      </c>
      <c r="I70" s="36"/>
      <c r="J70" s="36"/>
      <c r="K70" s="36"/>
      <c r="L70" s="38">
        <f>((Dotação_37.04[[#This Row],[DIAS]]*H70)*60)+(Dotação_37.04[[#This Row],[HORAS]]*60)+Dotação_37.04[[#This Row],[MINUTOS]]</f>
        <v>0</v>
      </c>
      <c r="M70" s="45">
        <f t="shared" si="3"/>
        <v>0</v>
      </c>
    </row>
    <row r="71" spans="2:13" ht="18" thickBot="1" x14ac:dyDescent="0.3">
      <c r="B71" s="33"/>
      <c r="C71" s="62"/>
      <c r="D71" s="33"/>
      <c r="E71" s="34"/>
      <c r="F71" s="35"/>
      <c r="G71" s="56">
        <f>Dotação_37.04[[#This Row],[VALOR DO POSTO]]*Dotação_37.04[[#This Row],[Quantidade]]</f>
        <v>0</v>
      </c>
      <c r="H71" s="42">
        <f t="shared" si="2"/>
        <v>1</v>
      </c>
      <c r="I71" s="36"/>
      <c r="J71" s="36"/>
      <c r="K71" s="36"/>
      <c r="L71" s="38">
        <f>((Dotação_37.04[[#This Row],[DIAS]]*H71)*60)+(Dotação_37.04[[#This Row],[HORAS]]*60)+Dotação_37.04[[#This Row],[MINUTOS]]</f>
        <v>0</v>
      </c>
      <c r="M71" s="45">
        <f t="shared" si="3"/>
        <v>0</v>
      </c>
    </row>
    <row r="72" spans="2:13" ht="18" thickBot="1" x14ac:dyDescent="0.3">
      <c r="B72" s="22" t="s">
        <v>127</v>
      </c>
      <c r="C72" s="22"/>
      <c r="D72" s="22">
        <f>SUBTOTAL(109,Dotação_37.04[Quantidade])</f>
        <v>0</v>
      </c>
      <c r="E72" s="23"/>
      <c r="F72" s="24"/>
      <c r="G72" s="57">
        <f>SUBTOTAL(109,Dotação_37.04[VALOR MENSAL])</f>
        <v>0</v>
      </c>
      <c r="H72" s="25"/>
      <c r="I72" s="25"/>
      <c r="J72" s="25"/>
      <c r="K72" s="25"/>
      <c r="L72" s="24"/>
      <c r="M72" s="26">
        <f>SUBTOTAL(109,Dotação_37.04[GLOSA])</f>
        <v>0</v>
      </c>
    </row>
  </sheetData>
  <mergeCells count="18">
    <mergeCell ref="B2:F2"/>
    <mergeCell ref="B4:F4"/>
    <mergeCell ref="B6:C6"/>
    <mergeCell ref="B16:C16"/>
    <mergeCell ref="B44:C45"/>
    <mergeCell ref="B26:C26"/>
    <mergeCell ref="B35:C35"/>
    <mergeCell ref="B47:D47"/>
    <mergeCell ref="E47:M47"/>
    <mergeCell ref="B48:B49"/>
    <mergeCell ref="C48:C49"/>
    <mergeCell ref="D48:D49"/>
    <mergeCell ref="E48:E49"/>
    <mergeCell ref="F48:F49"/>
    <mergeCell ref="G48:G49"/>
    <mergeCell ref="H48:H49"/>
    <mergeCell ref="I48:L48"/>
    <mergeCell ref="M48:M49"/>
  </mergeCells>
  <dataValidations count="1">
    <dataValidation type="list" allowBlank="1" showErrorMessage="1" error="ESCOLHER SOMENTE AS OPÇÕES DA LISTA" sqref="E51:E71" xr:uid="{69DFEA09-DCBE-4B41-899D-049E268987FE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562F0-0513-4F21-824A-85167A9C8CBE}">
  <sheetPr codeName="Planilha6"/>
  <dimension ref="B1:M31"/>
  <sheetViews>
    <sheetView showGridLines="0" topLeftCell="A2" zoomScale="85" zoomScaleNormal="85" workbookViewId="0">
      <selection activeCell="M23" sqref="M23:M30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.85546875" style="1" customWidth="1"/>
    <col min="8" max="8" width="9.140625" style="1" hidden="1" customWidth="1"/>
    <col min="9" max="10" width="9.140625" style="1"/>
    <col min="11" max="11" width="10.7109375" style="1" customWidth="1"/>
    <col min="12" max="12" width="12.140625" style="1" customWidth="1"/>
    <col min="13" max="13" width="22.5703125" style="1" customWidth="1"/>
    <col min="14" max="16384" width="9.140625" style="1"/>
  </cols>
  <sheetData>
    <row r="1" spans="2:5" ht="6.75" customHeight="1" thickBot="1" x14ac:dyDescent="0.3"/>
    <row r="2" spans="2:5" ht="18.75" customHeight="1" thickBot="1" x14ac:dyDescent="0.3">
      <c r="B2" s="125" t="s">
        <v>155</v>
      </c>
      <c r="C2" s="126"/>
      <c r="D2" s="126"/>
      <c r="E2" s="127"/>
    </row>
    <row r="3" spans="2:5" ht="6" customHeight="1" thickBot="1" x14ac:dyDescent="0.3">
      <c r="B3" s="1"/>
      <c r="C3" s="1"/>
      <c r="E3" s="1"/>
    </row>
    <row r="4" spans="2:5" ht="16.5" customHeight="1" thickBot="1" x14ac:dyDescent="0.3">
      <c r="B4" s="143" t="s">
        <v>181</v>
      </c>
      <c r="C4" s="144"/>
      <c r="D4" s="144"/>
      <c r="E4" s="145"/>
    </row>
    <row r="5" spans="2:5" ht="5.25" customHeight="1" thickBot="1" x14ac:dyDescent="0.3"/>
    <row r="6" spans="2:5" ht="24" customHeight="1" thickBot="1" x14ac:dyDescent="0.3">
      <c r="B6" s="128" t="s">
        <v>157</v>
      </c>
      <c r="C6" s="129"/>
      <c r="D6" s="92" t="s">
        <v>176</v>
      </c>
      <c r="E6" s="110"/>
    </row>
    <row r="7" spans="2:5" ht="32.2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5" ht="40.5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5" ht="40.5" customHeight="1" x14ac:dyDescent="0.25">
      <c r="B9" s="18" t="s">
        <v>50</v>
      </c>
      <c r="C9" s="12">
        <v>1</v>
      </c>
      <c r="D9" s="14"/>
      <c r="E9" s="8">
        <f>C9*D9</f>
        <v>0</v>
      </c>
    </row>
    <row r="10" spans="2:5" s="10" customFormat="1" ht="40.5" customHeight="1" x14ac:dyDescent="0.25">
      <c r="B10" s="18" t="s">
        <v>70</v>
      </c>
      <c r="C10" s="12">
        <v>2</v>
      </c>
      <c r="D10" s="14"/>
      <c r="E10" s="8">
        <f>C10*D10</f>
        <v>0</v>
      </c>
    </row>
    <row r="11" spans="2:5" ht="40.5" customHeight="1" x14ac:dyDescent="0.25">
      <c r="B11" s="18" t="s">
        <v>71</v>
      </c>
      <c r="C11" s="12">
        <v>2</v>
      </c>
      <c r="D11" s="14"/>
      <c r="E11" s="8">
        <f>C11*D11</f>
        <v>0</v>
      </c>
    </row>
    <row r="12" spans="2:5" ht="40.5" customHeight="1" thickBot="1" x14ac:dyDescent="0.3">
      <c r="B12" s="19" t="s">
        <v>72</v>
      </c>
      <c r="C12" s="13">
        <v>2</v>
      </c>
      <c r="D12" s="15"/>
      <c r="E12" s="9">
        <f>C12*D12</f>
        <v>0</v>
      </c>
    </row>
    <row r="13" spans="2:5" ht="18.75" customHeight="1" thickBot="1" x14ac:dyDescent="0.3">
      <c r="B13" s="51"/>
      <c r="C13" s="52"/>
      <c r="D13" s="53" t="s">
        <v>150</v>
      </c>
      <c r="E13" s="47">
        <f>SUBTOTAL(109,JARDINEIROS3592[PONTOS])</f>
        <v>0</v>
      </c>
    </row>
    <row r="14" spans="2:5" ht="10.5" customHeight="1" thickBot="1" x14ac:dyDescent="0.3"/>
    <row r="15" spans="2:5" ht="30" customHeight="1" thickBot="1" x14ac:dyDescent="0.3">
      <c r="B15" s="139" t="s">
        <v>207</v>
      </c>
      <c r="C15" s="140"/>
      <c r="D15" s="2" t="s">
        <v>189</v>
      </c>
      <c r="E15" s="2" t="s">
        <v>190</v>
      </c>
    </row>
    <row r="16" spans="2:5" ht="23.25" customHeight="1" thickBot="1" x14ac:dyDescent="0.3">
      <c r="B16" s="141"/>
      <c r="C16" s="142"/>
      <c r="D16" s="108">
        <f>E6</f>
        <v>0</v>
      </c>
      <c r="E16" s="2">
        <f>JARDINEIROS3592[[#Totals],[PONTOS]]</f>
        <v>0</v>
      </c>
    </row>
    <row r="17" spans="2:13" ht="7.5" customHeight="1" thickBot="1" x14ac:dyDescent="0.3"/>
    <row r="18" spans="2:13" ht="24.75" customHeight="1" thickBot="1" x14ac:dyDescent="0.3">
      <c r="B18" s="133" t="s">
        <v>198</v>
      </c>
      <c r="C18" s="134"/>
      <c r="D18" s="134"/>
      <c r="E18" s="122" t="str">
        <f>B4</f>
        <v>BLOCO 3 - POSTOS COM DOTAÇÃO ORÇAMENTÁRIA: 3390-37.06 - SERVIÇOS DE JARDINAGEM</v>
      </c>
      <c r="F18" s="122"/>
      <c r="G18" s="122"/>
      <c r="H18" s="122"/>
      <c r="I18" s="122"/>
      <c r="J18" s="122"/>
      <c r="K18" s="122"/>
      <c r="L18" s="122"/>
      <c r="M18" s="135"/>
    </row>
    <row r="19" spans="2:13" ht="18" customHeight="1" thickBot="1" x14ac:dyDescent="0.3">
      <c r="B19" s="131" t="s">
        <v>133</v>
      </c>
      <c r="C19" s="131" t="s">
        <v>178</v>
      </c>
      <c r="D19" s="131" t="s">
        <v>148</v>
      </c>
      <c r="E19" s="131" t="s">
        <v>134</v>
      </c>
      <c r="F19" s="131" t="s">
        <v>191</v>
      </c>
      <c r="G19" s="131" t="s">
        <v>174</v>
      </c>
      <c r="H19" s="131" t="s">
        <v>135</v>
      </c>
      <c r="I19" s="136" t="s">
        <v>136</v>
      </c>
      <c r="J19" s="137"/>
      <c r="K19" s="137"/>
      <c r="L19" s="138"/>
      <c r="M19" s="131" t="s">
        <v>141</v>
      </c>
    </row>
    <row r="20" spans="2:13" ht="35.25" thickBot="1" x14ac:dyDescent="0.3">
      <c r="B20" s="132"/>
      <c r="C20" s="132"/>
      <c r="D20" s="132"/>
      <c r="E20" s="132"/>
      <c r="F20" s="132"/>
      <c r="G20" s="132"/>
      <c r="H20" s="132"/>
      <c r="I20" s="109" t="s">
        <v>137</v>
      </c>
      <c r="J20" s="109" t="s">
        <v>138</v>
      </c>
      <c r="K20" s="109" t="s">
        <v>139</v>
      </c>
      <c r="L20" s="58" t="s">
        <v>140</v>
      </c>
      <c r="M20" s="132"/>
    </row>
    <row r="21" spans="2:13" ht="87" hidden="1" customHeight="1" x14ac:dyDescent="0.3">
      <c r="B21" s="58" t="s">
        <v>6</v>
      </c>
      <c r="C21" s="58" t="s">
        <v>177</v>
      </c>
      <c r="D21" s="58" t="s">
        <v>148</v>
      </c>
      <c r="E21" s="58" t="s">
        <v>4</v>
      </c>
      <c r="F21" s="58" t="s">
        <v>3</v>
      </c>
      <c r="G21" s="58" t="s">
        <v>175</v>
      </c>
      <c r="H21" s="46" t="s">
        <v>129</v>
      </c>
      <c r="I21" s="58" t="s">
        <v>130</v>
      </c>
      <c r="J21" s="58" t="s">
        <v>131</v>
      </c>
      <c r="K21" s="58" t="s">
        <v>132</v>
      </c>
      <c r="L21" s="58" t="s">
        <v>126</v>
      </c>
      <c r="M21" s="58" t="s">
        <v>2</v>
      </c>
    </row>
    <row r="22" spans="2:13" ht="17.25" x14ac:dyDescent="0.25">
      <c r="B22" s="67"/>
      <c r="C22" s="39"/>
      <c r="D22" s="39"/>
      <c r="E22" s="40"/>
      <c r="F22" s="41"/>
      <c r="G22" s="54">
        <f>Dotação_37.06[[#This Row],[VALOR DO POSTO]]*Dotação_37.06[[#This Row],[Quantidade]]</f>
        <v>0</v>
      </c>
      <c r="H22" s="42">
        <f t="shared" ref="H22:H30" si="0">IF(E22=20,4,IF(OR(E22=30,E22=36),6,IF(OR(E22=40,E22=44,E22=48),8,IF(OR(E22="12x36",E22="12-SDF"),12,1))))</f>
        <v>1</v>
      </c>
      <c r="I22" s="43"/>
      <c r="J22" s="43"/>
      <c r="K22" s="43"/>
      <c r="L22" s="44">
        <f>((Dotação_37.06[[#This Row],[DIAS]]*H22)*60)+(Dotação_37.06[[#This Row],[HORAS]]*60)+Dotação_37.06[[#This Row],[MINUTOS]]</f>
        <v>0</v>
      </c>
      <c r="M22" s="45">
        <f t="shared" ref="M22:M30" si="1">IF(E22=20,F22/6000*L22,IF(E22=30,F22/9000*L22,IF(E22=36,F22/10800*L22,IF(E22=40,F22/12000*L22,IF(E22=44,F22/13200*L22,IF(E22=48,F22/14400*L22,IF(E22="12x36",F22/21600*L22,IF(E22="12-SDF",F22/5760*L22,0))))))))</f>
        <v>0</v>
      </c>
    </row>
    <row r="23" spans="2:13" ht="17.25" x14ac:dyDescent="0.25">
      <c r="B23" s="68"/>
      <c r="C23" s="33"/>
      <c r="D23" s="29"/>
      <c r="E23" s="30"/>
      <c r="F23" s="31"/>
      <c r="G23" s="54">
        <f>Dotação_37.06[[#This Row],[VALOR DO POSTO]]*Dotação_37.06[[#This Row],[Quantidade]]</f>
        <v>0</v>
      </c>
      <c r="H23" s="42">
        <f t="shared" si="0"/>
        <v>1</v>
      </c>
      <c r="I23" s="32"/>
      <c r="J23" s="32"/>
      <c r="K23" s="32"/>
      <c r="L23" s="37">
        <f>((Dotação_37.06[[#This Row],[DIAS]]*H23)*60)+(Dotação_37.06[[#This Row],[HORAS]]*60)+Dotação_37.06[[#This Row],[MINUTOS]]</f>
        <v>0</v>
      </c>
      <c r="M23" s="45">
        <f t="shared" si="1"/>
        <v>0</v>
      </c>
    </row>
    <row r="24" spans="2:13" ht="17.25" x14ac:dyDescent="0.25">
      <c r="B24" s="69"/>
      <c r="C24" s="29"/>
      <c r="D24" s="33"/>
      <c r="E24" s="34"/>
      <c r="F24" s="35"/>
      <c r="G24" s="55">
        <f>Dotação_37.06[[#This Row],[VALOR DO POSTO]]*Dotação_37.06[[#This Row],[Quantidade]]</f>
        <v>0</v>
      </c>
      <c r="H24" s="42">
        <f t="shared" si="0"/>
        <v>1</v>
      </c>
      <c r="I24" s="36"/>
      <c r="J24" s="36"/>
      <c r="K24" s="36"/>
      <c r="L24" s="37">
        <f>((Dotação_37.06[[#This Row],[DIAS]]*H24)*60)+(Dotação_37.06[[#This Row],[HORAS]]*60)+Dotação_37.06[[#This Row],[MINUTOS]]</f>
        <v>0</v>
      </c>
      <c r="M24" s="45">
        <f t="shared" si="1"/>
        <v>0</v>
      </c>
    </row>
    <row r="25" spans="2:13" ht="17.25" x14ac:dyDescent="0.25">
      <c r="B25" s="69"/>
      <c r="C25" s="33"/>
      <c r="D25" s="29"/>
      <c r="E25" s="30"/>
      <c r="F25" s="31"/>
      <c r="G25" s="55">
        <f>Dotação_37.06[[#This Row],[VALOR DO POSTO]]*Dotação_37.06[[#This Row],[Quantidade]]</f>
        <v>0</v>
      </c>
      <c r="H25" s="42">
        <f t="shared" si="0"/>
        <v>1</v>
      </c>
      <c r="I25" s="32"/>
      <c r="J25" s="32"/>
      <c r="K25" s="32"/>
      <c r="L25" s="37">
        <f>((Dotação_37.06[[#This Row],[DIAS]]*H25)*60)+(Dotação_37.06[[#This Row],[HORAS]]*60)+Dotação_37.06[[#This Row],[MINUTOS]]</f>
        <v>0</v>
      </c>
      <c r="M25" s="45">
        <f t="shared" si="1"/>
        <v>0</v>
      </c>
    </row>
    <row r="26" spans="2:13" ht="17.25" x14ac:dyDescent="0.25">
      <c r="B26" s="69"/>
      <c r="C26" s="29"/>
      <c r="D26" s="29"/>
      <c r="E26" s="30"/>
      <c r="F26" s="31"/>
      <c r="G26" s="55">
        <f>Dotação_37.06[[#This Row],[VALOR DO POSTO]]*Dotação_37.06[[#This Row],[Quantidade]]</f>
        <v>0</v>
      </c>
      <c r="H26" s="42">
        <f t="shared" si="0"/>
        <v>1</v>
      </c>
      <c r="I26" s="32"/>
      <c r="J26" s="32"/>
      <c r="K26" s="32"/>
      <c r="L26" s="37">
        <f>((Dotação_37.06[[#This Row],[DIAS]]*H26)*60)+(Dotação_37.06[[#This Row],[HORAS]]*60)+Dotação_37.06[[#This Row],[MINUTOS]]</f>
        <v>0</v>
      </c>
      <c r="M26" s="45">
        <f t="shared" si="1"/>
        <v>0</v>
      </c>
    </row>
    <row r="27" spans="2:13" ht="17.25" x14ac:dyDescent="0.25">
      <c r="B27" s="69"/>
      <c r="C27" s="29"/>
      <c r="D27" s="29"/>
      <c r="E27" s="30"/>
      <c r="F27" s="31"/>
      <c r="G27" s="55">
        <f>Dotação_37.06[[#This Row],[VALOR DO POSTO]]*Dotação_37.06[[#This Row],[Quantidade]]</f>
        <v>0</v>
      </c>
      <c r="H27" s="42">
        <f t="shared" si="0"/>
        <v>1</v>
      </c>
      <c r="I27" s="32"/>
      <c r="J27" s="32"/>
      <c r="K27" s="32"/>
      <c r="L27" s="37">
        <f>((Dotação_37.06[[#This Row],[DIAS]]*H27)*60)+(Dotação_37.06[[#This Row],[HORAS]]*60)+Dotação_37.06[[#This Row],[MINUTOS]]</f>
        <v>0</v>
      </c>
      <c r="M27" s="45">
        <f t="shared" si="1"/>
        <v>0</v>
      </c>
    </row>
    <row r="28" spans="2:13" ht="17.25" x14ac:dyDescent="0.25">
      <c r="B28" s="29"/>
      <c r="C28" s="61"/>
      <c r="D28" s="29"/>
      <c r="E28" s="30"/>
      <c r="F28" s="31"/>
      <c r="G28" s="55">
        <f>Dotação_37.06[[#This Row],[VALOR DO POSTO]]*Dotação_37.06[[#This Row],[Quantidade]]</f>
        <v>0</v>
      </c>
      <c r="H28" s="42">
        <f t="shared" si="0"/>
        <v>1</v>
      </c>
      <c r="I28" s="32"/>
      <c r="J28" s="32"/>
      <c r="K28" s="32"/>
      <c r="L28" s="37">
        <f>((Dotação_37.06[[#This Row],[DIAS]]*H28)*60)+(Dotação_37.06[[#This Row],[HORAS]]*60)+Dotação_37.06[[#This Row],[MINUTOS]]</f>
        <v>0</v>
      </c>
      <c r="M28" s="45">
        <f t="shared" si="1"/>
        <v>0</v>
      </c>
    </row>
    <row r="29" spans="2:13" ht="17.25" x14ac:dyDescent="0.25">
      <c r="B29" s="33"/>
      <c r="C29" s="62"/>
      <c r="D29" s="33"/>
      <c r="E29" s="34"/>
      <c r="F29" s="35"/>
      <c r="G29" s="56">
        <f>Dotação_37.06[[#This Row],[VALOR DO POSTO]]*Dotação_37.06[[#This Row],[Quantidade]]</f>
        <v>0</v>
      </c>
      <c r="H29" s="42">
        <f t="shared" si="0"/>
        <v>1</v>
      </c>
      <c r="I29" s="36"/>
      <c r="J29" s="36"/>
      <c r="K29" s="36"/>
      <c r="L29" s="38">
        <f>((Dotação_37.06[[#This Row],[DIAS]]*H29)*60)+(Dotação_37.06[[#This Row],[HORAS]]*60)+Dotação_37.06[[#This Row],[MINUTOS]]</f>
        <v>0</v>
      </c>
      <c r="M29" s="45">
        <f t="shared" si="1"/>
        <v>0</v>
      </c>
    </row>
    <row r="30" spans="2:13" ht="18" thickBot="1" x14ac:dyDescent="0.3">
      <c r="B30" s="33"/>
      <c r="C30" s="62"/>
      <c r="D30" s="33"/>
      <c r="E30" s="34"/>
      <c r="F30" s="35"/>
      <c r="G30" s="56">
        <f>Dotação_37.06[[#This Row],[VALOR DO POSTO]]*Dotação_37.06[[#This Row],[Quantidade]]</f>
        <v>0</v>
      </c>
      <c r="H30" s="42">
        <f t="shared" si="0"/>
        <v>1</v>
      </c>
      <c r="I30" s="36"/>
      <c r="J30" s="36"/>
      <c r="K30" s="36"/>
      <c r="L30" s="38">
        <f>((Dotação_37.06[[#This Row],[DIAS]]*H30)*60)+(Dotação_37.06[[#This Row],[HORAS]]*60)+Dotação_37.06[[#This Row],[MINUTOS]]</f>
        <v>0</v>
      </c>
      <c r="M30" s="45">
        <f t="shared" si="1"/>
        <v>0</v>
      </c>
    </row>
    <row r="31" spans="2:13" ht="18" thickBot="1" x14ac:dyDescent="0.3">
      <c r="B31" s="22" t="s">
        <v>127</v>
      </c>
      <c r="C31" s="22"/>
      <c r="D31" s="22">
        <f>SUBTOTAL(109,Dotação_37.06[Quantidade])</f>
        <v>0</v>
      </c>
      <c r="E31" s="23"/>
      <c r="F31" s="24"/>
      <c r="G31" s="57">
        <f>SUBTOTAL(109,Dotação_37.06[VALOR MENSAL])</f>
        <v>0</v>
      </c>
      <c r="H31" s="25"/>
      <c r="I31" s="25"/>
      <c r="J31" s="25"/>
      <c r="K31" s="25"/>
      <c r="L31" s="24"/>
      <c r="M31" s="26">
        <f>SUBTOTAL(109,Dotação_37.06[GLOSA])</f>
        <v>0</v>
      </c>
    </row>
  </sheetData>
  <mergeCells count="15">
    <mergeCell ref="B2:E2"/>
    <mergeCell ref="G19:G20"/>
    <mergeCell ref="H19:H20"/>
    <mergeCell ref="I19:L19"/>
    <mergeCell ref="M19:M20"/>
    <mergeCell ref="B19:B20"/>
    <mergeCell ref="C19:C20"/>
    <mergeCell ref="D19:D20"/>
    <mergeCell ref="E19:E20"/>
    <mergeCell ref="F19:F20"/>
    <mergeCell ref="B18:D18"/>
    <mergeCell ref="E18:M18"/>
    <mergeCell ref="B6:C6"/>
    <mergeCell ref="B15:C16"/>
    <mergeCell ref="B4:E4"/>
  </mergeCells>
  <dataValidations disablePrompts="1" count="1">
    <dataValidation type="list" allowBlank="1" showErrorMessage="1" error="ESCOLHER SOMENTE AS OPÇÕES DA LISTA" sqref="E22:E30" xr:uid="{47701CDB-A5D9-4C18-8643-B238C7F4609D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C7439-80EC-4F0D-8D89-425FCCBED2CB}">
  <sheetPr codeName="Planilha7"/>
  <dimension ref="B1:T30"/>
  <sheetViews>
    <sheetView showGridLines="0" topLeftCell="A3" zoomScale="85" zoomScaleNormal="85" workbookViewId="0">
      <selection activeCell="M23" sqref="M23:M29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22.42578125" style="1" customWidth="1"/>
    <col min="8" max="8" width="9.140625" style="1" hidden="1" customWidth="1"/>
    <col min="9" max="10" width="9.140625" style="1"/>
    <col min="11" max="11" width="10.140625" style="1" customWidth="1"/>
    <col min="12" max="12" width="12.140625" style="1" customWidth="1"/>
    <col min="13" max="13" width="19.85546875" style="1" customWidth="1"/>
    <col min="14" max="16384" width="9.140625" style="1"/>
  </cols>
  <sheetData>
    <row r="1" spans="2:5" ht="8.25" customHeight="1" thickBot="1" x14ac:dyDescent="0.3"/>
    <row r="2" spans="2:5" ht="21.75" customHeight="1" thickBot="1" x14ac:dyDescent="0.3">
      <c r="B2" s="125" t="s">
        <v>155</v>
      </c>
      <c r="C2" s="126"/>
      <c r="D2" s="126"/>
      <c r="E2" s="127"/>
    </row>
    <row r="3" spans="2:5" ht="6.75" customHeight="1" thickBot="1" x14ac:dyDescent="0.3">
      <c r="B3" s="1"/>
      <c r="C3" s="1"/>
      <c r="E3" s="1"/>
    </row>
    <row r="4" spans="2:5" ht="21.75" customHeight="1" thickBot="1" x14ac:dyDescent="0.3">
      <c r="B4" s="143" t="s">
        <v>182</v>
      </c>
      <c r="C4" s="144"/>
      <c r="D4" s="144"/>
      <c r="E4" s="145"/>
    </row>
    <row r="5" spans="2:5" ht="7.5" customHeight="1" thickBot="1" x14ac:dyDescent="0.3"/>
    <row r="6" spans="2:5" ht="27" customHeight="1" thickBot="1" x14ac:dyDescent="0.3">
      <c r="B6" s="105" t="s">
        <v>170</v>
      </c>
      <c r="C6" s="106"/>
      <c r="D6" s="92" t="s">
        <v>176</v>
      </c>
      <c r="E6" s="110">
        <v>0</v>
      </c>
    </row>
    <row r="7" spans="2:5" s="10" customFormat="1" ht="31.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5" ht="42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5" ht="42" customHeight="1" x14ac:dyDescent="0.25">
      <c r="B9" s="18" t="s">
        <v>61</v>
      </c>
      <c r="C9" s="12">
        <v>1</v>
      </c>
      <c r="D9" s="14"/>
      <c r="E9" s="8">
        <f>C9*D9</f>
        <v>0</v>
      </c>
    </row>
    <row r="10" spans="2:5" ht="42" customHeight="1" x14ac:dyDescent="0.25">
      <c r="B10" s="18" t="s">
        <v>112</v>
      </c>
      <c r="C10" s="12">
        <v>2</v>
      </c>
      <c r="D10" s="14"/>
      <c r="E10" s="8">
        <f>C10*D10</f>
        <v>0</v>
      </c>
    </row>
    <row r="11" spans="2:5" ht="42" customHeight="1" x14ac:dyDescent="0.25">
      <c r="B11" s="18" t="s">
        <v>113</v>
      </c>
      <c r="C11" s="12">
        <v>2</v>
      </c>
      <c r="D11" s="14"/>
      <c r="E11" s="8">
        <f>C11*D11</f>
        <v>0</v>
      </c>
    </row>
    <row r="12" spans="2:5" ht="42" customHeight="1" thickBot="1" x14ac:dyDescent="0.3">
      <c r="B12" s="19" t="s">
        <v>114</v>
      </c>
      <c r="C12" s="13">
        <v>2</v>
      </c>
      <c r="D12" s="15"/>
      <c r="E12" s="9">
        <f>C12*D12</f>
        <v>0</v>
      </c>
    </row>
    <row r="13" spans="2:5" ht="21" customHeight="1" thickBot="1" x14ac:dyDescent="0.3">
      <c r="B13" s="51"/>
      <c r="C13" s="52"/>
      <c r="D13" s="53" t="s">
        <v>150</v>
      </c>
      <c r="E13" s="47">
        <f>SUBTOTAL(109,AUX_MANUT_PREDIAL47125[PONTOS])</f>
        <v>0</v>
      </c>
    </row>
    <row r="14" spans="2:5" ht="7.5" customHeight="1" thickBot="1" x14ac:dyDescent="0.3"/>
    <row r="15" spans="2:5" ht="30" customHeight="1" thickBot="1" x14ac:dyDescent="0.3">
      <c r="B15" s="139" t="s">
        <v>207</v>
      </c>
      <c r="C15" s="140"/>
      <c r="D15" s="2" t="s">
        <v>189</v>
      </c>
      <c r="E15" s="2" t="s">
        <v>190</v>
      </c>
    </row>
    <row r="16" spans="2:5" ht="27" customHeight="1" thickBot="1" x14ac:dyDescent="0.3">
      <c r="B16" s="141"/>
      <c r="C16" s="142"/>
      <c r="D16" s="108">
        <f>E6</f>
        <v>0</v>
      </c>
      <c r="E16" s="2">
        <f>AUX_MANUT_PREDIAL47125[[#Totals],[PONTOS]]</f>
        <v>0</v>
      </c>
    </row>
    <row r="17" spans="2:20" ht="7.5" customHeight="1" thickBot="1" x14ac:dyDescent="0.3"/>
    <row r="18" spans="2:20" ht="26.25" customHeight="1" thickBot="1" x14ac:dyDescent="0.3">
      <c r="B18" s="133" t="s">
        <v>198</v>
      </c>
      <c r="C18" s="134"/>
      <c r="D18" s="134"/>
      <c r="E18" s="122" t="str">
        <f>B4</f>
        <v>BLOCO 4 - POSTOS COM DOTAÇÃO ORÇAMENTÁRIA: 3390-37.07 - MANUTENÇÃO PREDIAL</v>
      </c>
      <c r="F18" s="122"/>
      <c r="G18" s="122"/>
      <c r="H18" s="122"/>
      <c r="I18" s="122"/>
      <c r="J18" s="122"/>
      <c r="K18" s="122"/>
      <c r="L18" s="122"/>
      <c r="M18" s="135"/>
      <c r="N18" s="20"/>
    </row>
    <row r="19" spans="2:20" ht="18" customHeight="1" thickBot="1" x14ac:dyDescent="0.3">
      <c r="B19" s="131" t="s">
        <v>133</v>
      </c>
      <c r="C19" s="131" t="s">
        <v>178</v>
      </c>
      <c r="D19" s="131" t="s">
        <v>148</v>
      </c>
      <c r="E19" s="131" t="s">
        <v>134</v>
      </c>
      <c r="F19" s="131" t="s">
        <v>191</v>
      </c>
      <c r="G19" s="131" t="s">
        <v>174</v>
      </c>
      <c r="H19" s="131" t="s">
        <v>135</v>
      </c>
      <c r="I19" s="136" t="s">
        <v>136</v>
      </c>
      <c r="J19" s="137"/>
      <c r="K19" s="137"/>
      <c r="L19" s="138"/>
      <c r="M19" s="131" t="s">
        <v>141</v>
      </c>
      <c r="N19" s="20"/>
    </row>
    <row r="20" spans="2:20" ht="32.25" customHeight="1" thickBot="1" x14ac:dyDescent="0.3">
      <c r="B20" s="132"/>
      <c r="C20" s="132"/>
      <c r="D20" s="132"/>
      <c r="E20" s="132"/>
      <c r="F20" s="132"/>
      <c r="G20" s="132"/>
      <c r="H20" s="132"/>
      <c r="I20" s="109" t="s">
        <v>137</v>
      </c>
      <c r="J20" s="109" t="s">
        <v>138</v>
      </c>
      <c r="K20" s="109" t="s">
        <v>139</v>
      </c>
      <c r="L20" s="58" t="s">
        <v>140</v>
      </c>
      <c r="M20" s="132"/>
      <c r="N20" s="20"/>
      <c r="R20" s="65"/>
      <c r="S20" s="65"/>
      <c r="T20" s="65"/>
    </row>
    <row r="21" spans="2:20" ht="87" hidden="1" customHeight="1" x14ac:dyDescent="0.3">
      <c r="B21" s="58" t="s">
        <v>6</v>
      </c>
      <c r="C21" s="58" t="s">
        <v>177</v>
      </c>
      <c r="D21" s="58" t="s">
        <v>148</v>
      </c>
      <c r="E21" s="58" t="s">
        <v>4</v>
      </c>
      <c r="F21" s="58" t="s">
        <v>3</v>
      </c>
      <c r="G21" s="58" t="s">
        <v>175</v>
      </c>
      <c r="H21" s="46" t="s">
        <v>129</v>
      </c>
      <c r="I21" s="58" t="s">
        <v>130</v>
      </c>
      <c r="J21" s="58" t="s">
        <v>131</v>
      </c>
      <c r="K21" s="58" t="s">
        <v>132</v>
      </c>
      <c r="L21" s="58" t="s">
        <v>126</v>
      </c>
      <c r="M21" s="58" t="s">
        <v>2</v>
      </c>
      <c r="N21" s="20"/>
      <c r="R21" s="65"/>
      <c r="S21" s="65"/>
      <c r="T21" s="65"/>
    </row>
    <row r="22" spans="2:20" ht="18.75" x14ac:dyDescent="0.25">
      <c r="B22" s="67"/>
      <c r="C22" s="39"/>
      <c r="D22" s="39"/>
      <c r="E22" s="40"/>
      <c r="F22" s="41"/>
      <c r="G22" s="54">
        <f>Dotação_37.07[[#This Row],[VALOR DO POSTO]]*Dotação_37.07[[#This Row],[Quantidade]]</f>
        <v>0</v>
      </c>
      <c r="H22" s="42">
        <f t="shared" ref="H22:H29" si="0">IF(E22=20,4,IF(OR(E22=30,E22=36),6,IF(OR(E22=40,E22=44,E22=48),8,IF(OR(E22="12x36",E22="12-SDF"),12,1))))</f>
        <v>1</v>
      </c>
      <c r="I22" s="43"/>
      <c r="J22" s="43"/>
      <c r="K22" s="43"/>
      <c r="L22" s="44">
        <f>((Dotação_37.07[[#This Row],[DIAS]]*H22)*60)+(Dotação_37.07[[#This Row],[HORAS]]*60)+Dotação_37.07[[#This Row],[MINUTOS]]</f>
        <v>0</v>
      </c>
      <c r="M22" s="45">
        <f t="shared" ref="M22:M29" si="1">IF(E22=20,F22/6000*L22,IF(E22=30,F22/9000*L22,IF(E22=36,F22/10800*L22,IF(E22=40,F22/12000*L22,IF(E22=44,F22/13200*L22,IF(E22=48,F22/14400*L22,IF(E22="12x36",F22/21600*L22,IF(E22="12-SDF",F22/5760*L22,0))))))))</f>
        <v>0</v>
      </c>
      <c r="N22" s="21"/>
      <c r="Q22" s="65"/>
      <c r="R22" s="65"/>
      <c r="S22" s="65"/>
      <c r="T22" s="65"/>
    </row>
    <row r="23" spans="2:20" ht="17.25" x14ac:dyDescent="0.25">
      <c r="B23" s="68"/>
      <c r="C23" s="33"/>
      <c r="D23" s="29"/>
      <c r="E23" s="30"/>
      <c r="F23" s="31"/>
      <c r="G23" s="54">
        <f>Dotação_37.07[[#This Row],[VALOR DO POSTO]]*Dotação_37.07[[#This Row],[Quantidade]]</f>
        <v>0</v>
      </c>
      <c r="H23" s="42">
        <f t="shared" si="0"/>
        <v>1</v>
      </c>
      <c r="I23" s="32"/>
      <c r="J23" s="32"/>
      <c r="K23" s="32"/>
      <c r="L23" s="37">
        <f>((Dotação_37.07[[#This Row],[DIAS]]*H23)*60)+(Dotação_37.07[[#This Row],[HORAS]]*60)+Dotação_37.07[[#This Row],[MINUTOS]]</f>
        <v>0</v>
      </c>
      <c r="M23" s="45">
        <f t="shared" si="1"/>
        <v>0</v>
      </c>
      <c r="Q23" s="65"/>
      <c r="R23" s="65"/>
      <c r="S23" s="65"/>
      <c r="T23" s="65"/>
    </row>
    <row r="24" spans="2:20" ht="17.25" x14ac:dyDescent="0.25">
      <c r="B24" s="69"/>
      <c r="C24" s="29"/>
      <c r="D24" s="33"/>
      <c r="E24" s="34"/>
      <c r="F24" s="35"/>
      <c r="G24" s="55">
        <f>Dotação_37.07[[#This Row],[VALOR DO POSTO]]*Dotação_37.07[[#This Row],[Quantidade]]</f>
        <v>0</v>
      </c>
      <c r="H24" s="42">
        <f t="shared" si="0"/>
        <v>1</v>
      </c>
      <c r="I24" s="36"/>
      <c r="J24" s="36"/>
      <c r="K24" s="36"/>
      <c r="L24" s="37">
        <f>((Dotação_37.07[[#This Row],[DIAS]]*H24)*60)+(Dotação_37.07[[#This Row],[HORAS]]*60)+Dotação_37.07[[#This Row],[MINUTOS]]</f>
        <v>0</v>
      </c>
      <c r="M24" s="45">
        <f t="shared" si="1"/>
        <v>0</v>
      </c>
      <c r="Q24" s="65"/>
      <c r="R24" s="65"/>
      <c r="S24" s="65"/>
      <c r="T24" s="65"/>
    </row>
    <row r="25" spans="2:20" ht="17.25" x14ac:dyDescent="0.25">
      <c r="B25" s="69"/>
      <c r="C25" s="33"/>
      <c r="D25" s="29"/>
      <c r="E25" s="30"/>
      <c r="F25" s="31"/>
      <c r="G25" s="55">
        <f>Dotação_37.07[[#This Row],[VALOR DO POSTO]]*Dotação_37.07[[#This Row],[Quantidade]]</f>
        <v>0</v>
      </c>
      <c r="H25" s="42">
        <f t="shared" si="0"/>
        <v>1</v>
      </c>
      <c r="I25" s="32"/>
      <c r="J25" s="32"/>
      <c r="K25" s="32"/>
      <c r="L25" s="37">
        <f>((Dotação_37.07[[#This Row],[DIAS]]*H25)*60)+(Dotação_37.07[[#This Row],[HORAS]]*60)+Dotação_37.07[[#This Row],[MINUTOS]]</f>
        <v>0</v>
      </c>
      <c r="M25" s="45">
        <f t="shared" si="1"/>
        <v>0</v>
      </c>
      <c r="R25" s="65"/>
      <c r="S25" s="65"/>
      <c r="T25" s="65"/>
    </row>
    <row r="26" spans="2:20" ht="17.25" x14ac:dyDescent="0.25">
      <c r="B26" s="69"/>
      <c r="C26" s="29"/>
      <c r="D26" s="29"/>
      <c r="E26" s="30"/>
      <c r="F26" s="31"/>
      <c r="G26" s="55">
        <f>Dotação_37.07[[#This Row],[VALOR DO POSTO]]*Dotação_37.07[[#This Row],[Quantidade]]</f>
        <v>0</v>
      </c>
      <c r="H26" s="42">
        <f t="shared" si="0"/>
        <v>1</v>
      </c>
      <c r="I26" s="32"/>
      <c r="J26" s="32"/>
      <c r="K26" s="32"/>
      <c r="L26" s="37">
        <f>((Dotação_37.07[[#This Row],[DIAS]]*H26)*60)+(Dotação_37.07[[#This Row],[HORAS]]*60)+Dotação_37.07[[#This Row],[MINUTOS]]</f>
        <v>0</v>
      </c>
      <c r="M26" s="45">
        <f t="shared" si="1"/>
        <v>0</v>
      </c>
    </row>
    <row r="27" spans="2:20" ht="17.25" x14ac:dyDescent="0.25">
      <c r="B27" s="69"/>
      <c r="C27" s="29"/>
      <c r="D27" s="29"/>
      <c r="E27" s="30"/>
      <c r="F27" s="31"/>
      <c r="G27" s="55">
        <f>Dotação_37.07[[#This Row],[VALOR DO POSTO]]*Dotação_37.07[[#This Row],[Quantidade]]</f>
        <v>0</v>
      </c>
      <c r="H27" s="42">
        <f t="shared" si="0"/>
        <v>1</v>
      </c>
      <c r="I27" s="32"/>
      <c r="J27" s="32"/>
      <c r="K27" s="32"/>
      <c r="L27" s="37">
        <f>((Dotação_37.07[[#This Row],[DIAS]]*H27)*60)+(Dotação_37.07[[#This Row],[HORAS]]*60)+Dotação_37.07[[#This Row],[MINUTOS]]</f>
        <v>0</v>
      </c>
      <c r="M27" s="45">
        <f t="shared" si="1"/>
        <v>0</v>
      </c>
    </row>
    <row r="28" spans="2:20" ht="17.25" x14ac:dyDescent="0.25">
      <c r="B28" s="29"/>
      <c r="C28" s="61"/>
      <c r="D28" s="29"/>
      <c r="E28" s="30"/>
      <c r="F28" s="31"/>
      <c r="G28" s="55">
        <f>Dotação_37.07[[#This Row],[VALOR DO POSTO]]*Dotação_37.07[[#This Row],[Quantidade]]</f>
        <v>0</v>
      </c>
      <c r="H28" s="42">
        <f t="shared" si="0"/>
        <v>1</v>
      </c>
      <c r="I28" s="32"/>
      <c r="J28" s="32"/>
      <c r="K28" s="32"/>
      <c r="L28" s="37">
        <f>((Dotação_37.07[[#This Row],[DIAS]]*H28)*60)+(Dotação_37.07[[#This Row],[HORAS]]*60)+Dotação_37.07[[#This Row],[MINUTOS]]</f>
        <v>0</v>
      </c>
      <c r="M28" s="45">
        <f t="shared" si="1"/>
        <v>0</v>
      </c>
    </row>
    <row r="29" spans="2:20" ht="18" thickBot="1" x14ac:dyDescent="0.3">
      <c r="B29" s="33"/>
      <c r="C29" s="62"/>
      <c r="D29" s="33"/>
      <c r="E29" s="34"/>
      <c r="F29" s="35"/>
      <c r="G29" s="56">
        <f>Dotação_37.07[[#This Row],[VALOR DO POSTO]]*Dotação_37.07[[#This Row],[Quantidade]]</f>
        <v>0</v>
      </c>
      <c r="H29" s="42">
        <f t="shared" si="0"/>
        <v>1</v>
      </c>
      <c r="I29" s="36"/>
      <c r="J29" s="36"/>
      <c r="K29" s="36"/>
      <c r="L29" s="37">
        <f>((Dotação_37.07[[#This Row],[DIAS]]*H29)*60)+(Dotação_37.07[[#This Row],[HORAS]]*60)+Dotação_37.07[[#This Row],[MINUTOS]]</f>
        <v>0</v>
      </c>
      <c r="M29" s="45">
        <f t="shared" si="1"/>
        <v>0</v>
      </c>
    </row>
    <row r="30" spans="2:20" ht="18" thickBot="1" x14ac:dyDescent="0.3">
      <c r="B30" s="22" t="s">
        <v>127</v>
      </c>
      <c r="C30" s="22"/>
      <c r="D30" s="22">
        <f>SUBTOTAL(109,Dotação_37.07[Quantidade])</f>
        <v>0</v>
      </c>
      <c r="E30" s="23"/>
      <c r="F30" s="24"/>
      <c r="G30" s="57">
        <f>SUBTOTAL(109,Dotação_37.07[VALOR MENSAL])</f>
        <v>0</v>
      </c>
      <c r="H30" s="25"/>
      <c r="I30" s="25"/>
      <c r="J30" s="25"/>
      <c r="K30" s="25"/>
      <c r="L30" s="24"/>
      <c r="M30" s="26">
        <f>SUBTOTAL(109,Dotação_37.07[GLOSA])</f>
        <v>0</v>
      </c>
    </row>
  </sheetData>
  <mergeCells count="14">
    <mergeCell ref="B2:E2"/>
    <mergeCell ref="B4:E4"/>
    <mergeCell ref="B15:C16"/>
    <mergeCell ref="B18:D18"/>
    <mergeCell ref="E18:M18"/>
    <mergeCell ref="G19:G20"/>
    <mergeCell ref="H19:H20"/>
    <mergeCell ref="I19:L19"/>
    <mergeCell ref="M19:M20"/>
    <mergeCell ref="B19:B20"/>
    <mergeCell ref="C19:C20"/>
    <mergeCell ref="D19:D20"/>
    <mergeCell ref="E19:E20"/>
    <mergeCell ref="F19:F20"/>
  </mergeCells>
  <dataValidations count="1">
    <dataValidation type="list" allowBlank="1" showErrorMessage="1" error="ESCOLHER SOMENTE AS OPÇÕES DA LISTA" sqref="E22:E29" xr:uid="{3E495DEA-2633-4B07-BCC2-A4F8B72E4A76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16996-1B1F-4BC3-8CA3-5C8060334BA0}">
  <sheetPr codeName="Planilha11"/>
  <dimension ref="B1:T50"/>
  <sheetViews>
    <sheetView showGridLines="0" topLeftCell="A28" zoomScale="85" zoomScaleNormal="85" workbookViewId="0">
      <selection activeCell="M42" sqref="M42:M49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22.28515625" style="1" customWidth="1"/>
    <col min="8" max="8" width="9.140625" style="1" hidden="1" customWidth="1"/>
    <col min="9" max="10" width="9.140625" style="1"/>
    <col min="11" max="11" width="11" style="1" customWidth="1"/>
    <col min="12" max="12" width="12.140625" style="1" customWidth="1"/>
    <col min="13" max="13" width="22.14062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43" t="s">
        <v>183</v>
      </c>
      <c r="C4" s="144"/>
      <c r="D4" s="144"/>
      <c r="E4" s="144"/>
      <c r="F4" s="145"/>
    </row>
    <row r="5" spans="2:6" ht="9.75" customHeight="1" thickBot="1" x14ac:dyDescent="0.3">
      <c r="B5" s="1"/>
      <c r="C5" s="1"/>
      <c r="E5" s="1"/>
    </row>
    <row r="6" spans="2:6" s="10" customFormat="1" ht="28.5" customHeight="1" thickBot="1" x14ac:dyDescent="0.3">
      <c r="B6" s="128" t="s">
        <v>162</v>
      </c>
      <c r="C6" s="130"/>
      <c r="D6" s="92" t="s">
        <v>176</v>
      </c>
      <c r="E6" s="110"/>
    </row>
    <row r="7" spans="2:6" ht="33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6" ht="37.5" customHeight="1" x14ac:dyDescent="0.25">
      <c r="B8" s="17" t="s">
        <v>49</v>
      </c>
      <c r="C8" s="11">
        <v>1</v>
      </c>
      <c r="D8" s="16"/>
      <c r="E8" s="7">
        <f>C8*D8</f>
        <v>0</v>
      </c>
    </row>
    <row r="9" spans="2:6" ht="37.5" customHeight="1" x14ac:dyDescent="0.25">
      <c r="B9" s="18" t="s">
        <v>50</v>
      </c>
      <c r="C9" s="12">
        <v>1</v>
      </c>
      <c r="D9" s="14"/>
      <c r="E9" s="8">
        <f>C9*D9</f>
        <v>0</v>
      </c>
    </row>
    <row r="10" spans="2:6" ht="27.75" customHeight="1" x14ac:dyDescent="0.25">
      <c r="B10" s="18" t="s">
        <v>84</v>
      </c>
      <c r="C10" s="12">
        <v>2</v>
      </c>
      <c r="D10" s="14"/>
      <c r="E10" s="8">
        <f>C10*D10</f>
        <v>0</v>
      </c>
    </row>
    <row r="11" spans="2:6" ht="27.75" customHeight="1" x14ac:dyDescent="0.25">
      <c r="B11" s="18" t="s">
        <v>85</v>
      </c>
      <c r="C11" s="12">
        <v>2</v>
      </c>
      <c r="D11" s="14"/>
      <c r="E11" s="8">
        <f>C11*D11</f>
        <v>0</v>
      </c>
    </row>
    <row r="12" spans="2:6" ht="38.25" customHeight="1" thickBot="1" x14ac:dyDescent="0.3">
      <c r="B12" s="19" t="s">
        <v>59</v>
      </c>
      <c r="C12" s="13">
        <v>2</v>
      </c>
      <c r="D12" s="15"/>
      <c r="E12" s="9">
        <f>C12*D12</f>
        <v>0</v>
      </c>
    </row>
    <row r="13" spans="2:6" ht="20.25" customHeight="1" thickBot="1" x14ac:dyDescent="0.3">
      <c r="B13" s="51"/>
      <c r="C13" s="52"/>
      <c r="D13" s="53" t="s">
        <v>150</v>
      </c>
      <c r="E13" s="47">
        <f>SUBTOTAL(109,OP_MAQ_COSTAL39138[PONTOS])</f>
        <v>0</v>
      </c>
    </row>
    <row r="14" spans="2:6" s="10" customFormat="1" ht="17.25" customHeight="1" thickBot="1" x14ac:dyDescent="0.3">
      <c r="B14" s="4"/>
      <c r="C14" s="5"/>
      <c r="D14" s="1"/>
      <c r="E14" s="3"/>
    </row>
    <row r="15" spans="2:6" ht="30.75" customHeight="1" thickBot="1" x14ac:dyDescent="0.3">
      <c r="B15" s="128" t="s">
        <v>163</v>
      </c>
      <c r="C15" s="130"/>
      <c r="D15" s="92" t="s">
        <v>176</v>
      </c>
      <c r="E15" s="110"/>
    </row>
    <row r="16" spans="2:6" ht="34.5" customHeight="1" thickBot="1" x14ac:dyDescent="0.3">
      <c r="B16" s="108" t="s">
        <v>0</v>
      </c>
      <c r="C16" s="28" t="s">
        <v>5</v>
      </c>
      <c r="D16" s="59" t="s">
        <v>205</v>
      </c>
      <c r="E16" s="2" t="s">
        <v>1</v>
      </c>
    </row>
    <row r="17" spans="2:5" ht="37.5" customHeight="1" x14ac:dyDescent="0.25">
      <c r="B17" s="17" t="s">
        <v>49</v>
      </c>
      <c r="C17" s="11">
        <v>1</v>
      </c>
      <c r="D17" s="16"/>
      <c r="E17" s="7">
        <f>C17*D17</f>
        <v>0</v>
      </c>
    </row>
    <row r="18" spans="2:5" ht="37.5" customHeight="1" x14ac:dyDescent="0.25">
      <c r="B18" s="18" t="s">
        <v>50</v>
      </c>
      <c r="C18" s="12">
        <v>1</v>
      </c>
      <c r="D18" s="14"/>
      <c r="E18" s="8">
        <f>C18*D18</f>
        <v>0</v>
      </c>
    </row>
    <row r="19" spans="2:5" ht="37.5" customHeight="1" x14ac:dyDescent="0.25">
      <c r="B19" s="18" t="s">
        <v>86</v>
      </c>
      <c r="C19" s="12">
        <v>2</v>
      </c>
      <c r="D19" s="14"/>
      <c r="E19" s="8">
        <f>C19*D19</f>
        <v>0</v>
      </c>
    </row>
    <row r="20" spans="2:5" ht="37.5" customHeight="1" x14ac:dyDescent="0.25">
      <c r="B20" s="18" t="s">
        <v>87</v>
      </c>
      <c r="C20" s="12">
        <v>2</v>
      </c>
      <c r="D20" s="14"/>
      <c r="E20" s="8">
        <f>C20*D20</f>
        <v>0</v>
      </c>
    </row>
    <row r="21" spans="2:5" ht="37.5" customHeight="1" thickBot="1" x14ac:dyDescent="0.3">
      <c r="B21" s="19" t="s">
        <v>88</v>
      </c>
      <c r="C21" s="13">
        <v>2</v>
      </c>
      <c r="D21" s="15"/>
      <c r="E21" s="9">
        <f>C21*D21</f>
        <v>0</v>
      </c>
    </row>
    <row r="22" spans="2:5" ht="23.25" customHeight="1" thickBot="1" x14ac:dyDescent="0.3">
      <c r="B22" s="51"/>
      <c r="C22" s="52"/>
      <c r="D22" s="53" t="s">
        <v>150</v>
      </c>
      <c r="E22" s="47">
        <f>SUBTOTAL(109,OP_CALDEIRA40139[PONTOS])</f>
        <v>0</v>
      </c>
    </row>
    <row r="23" spans="2:5" ht="13.5" customHeight="1" thickBot="1" x14ac:dyDescent="0.3"/>
    <row r="24" spans="2:5" ht="34.5" customHeight="1" thickBot="1" x14ac:dyDescent="0.3">
      <c r="B24" s="128" t="s">
        <v>168</v>
      </c>
      <c r="C24" s="130"/>
      <c r="D24" s="92" t="s">
        <v>176</v>
      </c>
      <c r="E24" s="110">
        <v>0</v>
      </c>
    </row>
    <row r="25" spans="2:5" ht="36.75" customHeight="1" thickBot="1" x14ac:dyDescent="0.3">
      <c r="B25" s="108" t="s">
        <v>0</v>
      </c>
      <c r="C25" s="28" t="s">
        <v>5</v>
      </c>
      <c r="D25" s="59" t="s">
        <v>205</v>
      </c>
      <c r="E25" s="2" t="s">
        <v>1</v>
      </c>
    </row>
    <row r="26" spans="2:5" ht="44.25" customHeight="1" x14ac:dyDescent="0.25">
      <c r="B26" s="17" t="s">
        <v>49</v>
      </c>
      <c r="C26" s="11">
        <v>1</v>
      </c>
      <c r="D26" s="16"/>
      <c r="E26" s="7">
        <f t="shared" ref="E26:E31" si="0">C26*D26</f>
        <v>0</v>
      </c>
    </row>
    <row r="27" spans="2:5" ht="44.25" customHeight="1" x14ac:dyDescent="0.25">
      <c r="B27" s="18" t="s">
        <v>50</v>
      </c>
      <c r="C27" s="12">
        <v>1</v>
      </c>
      <c r="D27" s="14"/>
      <c r="E27" s="8">
        <f t="shared" si="0"/>
        <v>0</v>
      </c>
    </row>
    <row r="28" spans="2:5" ht="31.5" customHeight="1" x14ac:dyDescent="0.25">
      <c r="B28" s="18" t="s">
        <v>104</v>
      </c>
      <c r="C28" s="12">
        <v>2</v>
      </c>
      <c r="D28" s="14"/>
      <c r="E28" s="8">
        <f t="shared" si="0"/>
        <v>0</v>
      </c>
    </row>
    <row r="29" spans="2:5" ht="31.5" customHeight="1" x14ac:dyDescent="0.25">
      <c r="B29" s="18" t="s">
        <v>105</v>
      </c>
      <c r="C29" s="12">
        <v>2</v>
      </c>
      <c r="D29" s="14"/>
      <c r="E29" s="8">
        <f t="shared" si="0"/>
        <v>0</v>
      </c>
    </row>
    <row r="30" spans="2:5" s="10" customFormat="1" ht="46.5" customHeight="1" x14ac:dyDescent="0.25">
      <c r="B30" s="18" t="s">
        <v>106</v>
      </c>
      <c r="C30" s="12">
        <v>2</v>
      </c>
      <c r="D30" s="14"/>
      <c r="E30" s="8">
        <f t="shared" si="0"/>
        <v>0</v>
      </c>
    </row>
    <row r="31" spans="2:5" ht="42" customHeight="1" thickBot="1" x14ac:dyDescent="0.3">
      <c r="B31" s="19" t="s">
        <v>107</v>
      </c>
      <c r="C31" s="13">
        <v>2</v>
      </c>
      <c r="D31" s="15"/>
      <c r="E31" s="9">
        <f t="shared" si="0"/>
        <v>0</v>
      </c>
    </row>
    <row r="32" spans="2:5" ht="25.5" customHeight="1" thickBot="1" x14ac:dyDescent="0.3">
      <c r="B32" s="51"/>
      <c r="C32" s="52"/>
      <c r="D32" s="53" t="s">
        <v>150</v>
      </c>
      <c r="E32" s="47">
        <f>SUBTOTAL(109,OP_EMPILHADEIRA45144[PONTOS])</f>
        <v>0</v>
      </c>
    </row>
    <row r="33" spans="2:20" ht="15.75" thickBot="1" x14ac:dyDescent="0.3"/>
    <row r="34" spans="2:20" ht="28.5" customHeight="1" thickBot="1" x14ac:dyDescent="0.3">
      <c r="B34" s="139" t="s">
        <v>207</v>
      </c>
      <c r="C34" s="140"/>
      <c r="D34" s="2" t="s">
        <v>189</v>
      </c>
      <c r="E34" s="2" t="s">
        <v>190</v>
      </c>
    </row>
    <row r="35" spans="2:20" ht="24.75" customHeight="1" thickBot="1" x14ac:dyDescent="0.3">
      <c r="B35" s="141"/>
      <c r="C35" s="142"/>
      <c r="D35" s="108">
        <f>E24+E15+E6</f>
        <v>0</v>
      </c>
      <c r="E35" s="2">
        <f>SUM(OP_EMPILHADEIRA45144[[#Totals],[PONTOS]]+OP_CALDEIRA40139[[#Totals],[PONTOS]]+OP_MAQ_COSTAL39138[[#Totals],[PONTOS]])</f>
        <v>0</v>
      </c>
    </row>
    <row r="36" spans="2:20" ht="15.75" thickBot="1" x14ac:dyDescent="0.3"/>
    <row r="37" spans="2:20" ht="50.25" customHeight="1" thickBot="1" x14ac:dyDescent="0.3">
      <c r="B37" s="133" t="s">
        <v>198</v>
      </c>
      <c r="C37" s="134"/>
      <c r="D37" s="134"/>
      <c r="E37" s="122" t="str">
        <f>B4</f>
        <v>BLOCO 5 - POSTOS COM DOTAÇÃO ORÇAMENTÁRIA: 3390-37.08 - OPERADORES DE MÁQUINAS</v>
      </c>
      <c r="F37" s="122"/>
      <c r="G37" s="122"/>
      <c r="H37" s="122"/>
      <c r="I37" s="122"/>
      <c r="J37" s="122"/>
      <c r="K37" s="122"/>
      <c r="L37" s="122"/>
      <c r="M37" s="135"/>
      <c r="N37" s="20"/>
    </row>
    <row r="38" spans="2:20" ht="18" customHeight="1" thickBot="1" x14ac:dyDescent="0.3">
      <c r="B38" s="131" t="s">
        <v>133</v>
      </c>
      <c r="C38" s="131" t="s">
        <v>178</v>
      </c>
      <c r="D38" s="131" t="s">
        <v>148</v>
      </c>
      <c r="E38" s="131" t="s">
        <v>134</v>
      </c>
      <c r="F38" s="131" t="s">
        <v>191</v>
      </c>
      <c r="G38" s="131" t="s">
        <v>174</v>
      </c>
      <c r="H38" s="131" t="s">
        <v>135</v>
      </c>
      <c r="I38" s="136" t="s">
        <v>136</v>
      </c>
      <c r="J38" s="137"/>
      <c r="K38" s="137"/>
      <c r="L38" s="138"/>
      <c r="M38" s="131" t="s">
        <v>141</v>
      </c>
      <c r="N38" s="20"/>
    </row>
    <row r="39" spans="2:20" ht="40.5" customHeight="1" thickBot="1" x14ac:dyDescent="0.3">
      <c r="B39" s="132"/>
      <c r="C39" s="132"/>
      <c r="D39" s="132"/>
      <c r="E39" s="132"/>
      <c r="F39" s="132"/>
      <c r="G39" s="132"/>
      <c r="H39" s="132"/>
      <c r="I39" s="109" t="s">
        <v>137</v>
      </c>
      <c r="J39" s="109" t="s">
        <v>138</v>
      </c>
      <c r="K39" s="109" t="s">
        <v>139</v>
      </c>
      <c r="L39" s="58" t="s">
        <v>140</v>
      </c>
      <c r="M39" s="132"/>
      <c r="N39" s="20"/>
      <c r="R39" s="65"/>
      <c r="S39" s="65"/>
      <c r="T39" s="65"/>
    </row>
    <row r="40" spans="2:20" ht="87" hidden="1" customHeight="1" x14ac:dyDescent="0.3">
      <c r="B40" s="58" t="s">
        <v>6</v>
      </c>
      <c r="C40" s="58" t="s">
        <v>177</v>
      </c>
      <c r="D40" s="58" t="s">
        <v>148</v>
      </c>
      <c r="E40" s="58" t="s">
        <v>4</v>
      </c>
      <c r="F40" s="58" t="s">
        <v>3</v>
      </c>
      <c r="G40" s="58" t="s">
        <v>175</v>
      </c>
      <c r="H40" s="46" t="s">
        <v>129</v>
      </c>
      <c r="I40" s="58" t="s">
        <v>130</v>
      </c>
      <c r="J40" s="58" t="s">
        <v>131</v>
      </c>
      <c r="K40" s="58" t="s">
        <v>132</v>
      </c>
      <c r="L40" s="58" t="s">
        <v>126</v>
      </c>
      <c r="M40" s="58" t="s">
        <v>2</v>
      </c>
      <c r="N40" s="20"/>
      <c r="R40" s="65"/>
      <c r="S40" s="65"/>
      <c r="T40" s="65"/>
    </row>
    <row r="41" spans="2:20" ht="18.75" x14ac:dyDescent="0.25">
      <c r="B41" s="67"/>
      <c r="C41" s="39"/>
      <c r="D41" s="39"/>
      <c r="E41" s="40"/>
      <c r="F41" s="41"/>
      <c r="G41" s="54">
        <f>Dotação_37.08[[#This Row],[VALOR DO POSTO]]*Dotação_37.08[[#This Row],[Quantidade]]</f>
        <v>0</v>
      </c>
      <c r="H41" s="42">
        <f t="shared" ref="H41:H49" si="1">IF(E41=20,4,IF(OR(E41=30,E41=36),6,IF(OR(E41=40,E41=44,E41=48),8,IF(OR(E41="12x36",E41="12-SDF"),12,1))))</f>
        <v>1</v>
      </c>
      <c r="I41" s="43"/>
      <c r="J41" s="43"/>
      <c r="K41" s="43"/>
      <c r="L41" s="44">
        <f>((Dotação_37.08[[#This Row],[DIAS]]*H41)*60)+(Dotação_37.08[[#This Row],[HORAS]]*60)+Dotação_37.08[[#This Row],[MINUTOS]]</f>
        <v>0</v>
      </c>
      <c r="M41" s="45">
        <f t="shared" ref="M41:M49" si="2">IF(E41=20,F41/6000*L41,IF(E41=30,F41/9000*L41,IF(E41=36,F41/10800*L41,IF(E41=40,F41/12000*L41,IF(E41=44,F41/13200*L41,IF(E41=48,F41/14400*L41,IF(E41="12x36",F41/21600*L41,IF(E41="12-SDF",F41/5760*L41,0))))))))</f>
        <v>0</v>
      </c>
      <c r="N41" s="21"/>
      <c r="Q41" s="65"/>
      <c r="R41" s="65"/>
      <c r="S41" s="65"/>
      <c r="T41" s="65"/>
    </row>
    <row r="42" spans="2:20" ht="17.25" x14ac:dyDescent="0.25">
      <c r="B42" s="68"/>
      <c r="C42" s="33"/>
      <c r="D42" s="29"/>
      <c r="E42" s="30"/>
      <c r="F42" s="31"/>
      <c r="G42" s="54">
        <f>Dotação_37.08[[#This Row],[VALOR DO POSTO]]*Dotação_37.08[[#This Row],[Quantidade]]</f>
        <v>0</v>
      </c>
      <c r="H42" s="42">
        <f t="shared" si="1"/>
        <v>1</v>
      </c>
      <c r="I42" s="32"/>
      <c r="J42" s="32"/>
      <c r="K42" s="32"/>
      <c r="L42" s="37">
        <f>((Dotação_37.08[[#This Row],[DIAS]]*H42)*60)+(Dotação_37.08[[#This Row],[HORAS]]*60)+Dotação_37.08[[#This Row],[MINUTOS]]</f>
        <v>0</v>
      </c>
      <c r="M42" s="45">
        <f t="shared" si="2"/>
        <v>0</v>
      </c>
      <c r="Q42" s="65"/>
      <c r="R42" s="65"/>
      <c r="S42" s="65"/>
      <c r="T42" s="65"/>
    </row>
    <row r="43" spans="2:20" ht="17.25" x14ac:dyDescent="0.25">
      <c r="B43" s="69"/>
      <c r="C43" s="29"/>
      <c r="D43" s="33"/>
      <c r="E43" s="34"/>
      <c r="F43" s="35"/>
      <c r="G43" s="55">
        <f>Dotação_37.08[[#This Row],[VALOR DO POSTO]]*Dotação_37.08[[#This Row],[Quantidade]]</f>
        <v>0</v>
      </c>
      <c r="H43" s="42">
        <f t="shared" si="1"/>
        <v>1</v>
      </c>
      <c r="I43" s="36"/>
      <c r="J43" s="36"/>
      <c r="K43" s="36"/>
      <c r="L43" s="37">
        <f>((Dotação_37.08[[#This Row],[DIAS]]*H43)*60)+(Dotação_37.08[[#This Row],[HORAS]]*60)+Dotação_37.08[[#This Row],[MINUTOS]]</f>
        <v>0</v>
      </c>
      <c r="M43" s="45">
        <f t="shared" si="2"/>
        <v>0</v>
      </c>
      <c r="Q43" s="65"/>
      <c r="R43" s="65"/>
      <c r="S43" s="65"/>
      <c r="T43" s="65"/>
    </row>
    <row r="44" spans="2:20" ht="17.25" x14ac:dyDescent="0.25">
      <c r="B44" s="69"/>
      <c r="C44" s="33"/>
      <c r="D44" s="29"/>
      <c r="E44" s="30"/>
      <c r="F44" s="31"/>
      <c r="G44" s="55">
        <f>Dotação_37.08[[#This Row],[VALOR DO POSTO]]*Dotação_37.08[[#This Row],[Quantidade]]</f>
        <v>0</v>
      </c>
      <c r="H44" s="42">
        <f t="shared" si="1"/>
        <v>1</v>
      </c>
      <c r="I44" s="32"/>
      <c r="J44" s="32"/>
      <c r="K44" s="32"/>
      <c r="L44" s="37">
        <f>((Dotação_37.08[[#This Row],[DIAS]]*H44)*60)+(Dotação_37.08[[#This Row],[HORAS]]*60)+Dotação_37.08[[#This Row],[MINUTOS]]</f>
        <v>0</v>
      </c>
      <c r="M44" s="45">
        <f t="shared" si="2"/>
        <v>0</v>
      </c>
      <c r="R44" s="65"/>
      <c r="S44" s="65"/>
      <c r="T44" s="65"/>
    </row>
    <row r="45" spans="2:20" ht="17.25" x14ac:dyDescent="0.25">
      <c r="B45" s="69"/>
      <c r="C45" s="29"/>
      <c r="D45" s="29"/>
      <c r="E45" s="30"/>
      <c r="F45" s="31"/>
      <c r="G45" s="55">
        <f>Dotação_37.08[[#This Row],[VALOR DO POSTO]]*Dotação_37.08[[#This Row],[Quantidade]]</f>
        <v>0</v>
      </c>
      <c r="H45" s="42">
        <f t="shared" si="1"/>
        <v>1</v>
      </c>
      <c r="I45" s="32"/>
      <c r="J45" s="32"/>
      <c r="K45" s="32"/>
      <c r="L45" s="37">
        <f>((Dotação_37.08[[#This Row],[DIAS]]*H45)*60)+(Dotação_37.08[[#This Row],[HORAS]]*60)+Dotação_37.08[[#This Row],[MINUTOS]]</f>
        <v>0</v>
      </c>
      <c r="M45" s="45">
        <f t="shared" si="2"/>
        <v>0</v>
      </c>
    </row>
    <row r="46" spans="2:20" ht="17.25" x14ac:dyDescent="0.25">
      <c r="B46" s="69"/>
      <c r="C46" s="29"/>
      <c r="D46" s="29"/>
      <c r="E46" s="30"/>
      <c r="F46" s="31"/>
      <c r="G46" s="55">
        <f>Dotação_37.08[[#This Row],[VALOR DO POSTO]]*Dotação_37.08[[#This Row],[Quantidade]]</f>
        <v>0</v>
      </c>
      <c r="H46" s="42">
        <f t="shared" si="1"/>
        <v>1</v>
      </c>
      <c r="I46" s="32"/>
      <c r="J46" s="32"/>
      <c r="K46" s="32"/>
      <c r="L46" s="37">
        <f>((Dotação_37.08[[#This Row],[DIAS]]*H46)*60)+(Dotação_37.08[[#This Row],[HORAS]]*60)+Dotação_37.08[[#This Row],[MINUTOS]]</f>
        <v>0</v>
      </c>
      <c r="M46" s="45">
        <f t="shared" si="2"/>
        <v>0</v>
      </c>
    </row>
    <row r="47" spans="2:20" ht="17.25" x14ac:dyDescent="0.25">
      <c r="B47" s="29"/>
      <c r="C47" s="61"/>
      <c r="D47" s="29"/>
      <c r="E47" s="30"/>
      <c r="F47" s="31"/>
      <c r="G47" s="55">
        <f>Dotação_37.08[[#This Row],[VALOR DO POSTO]]*Dotação_37.08[[#This Row],[Quantidade]]</f>
        <v>0</v>
      </c>
      <c r="H47" s="42">
        <f t="shared" si="1"/>
        <v>1</v>
      </c>
      <c r="I47" s="32"/>
      <c r="J47" s="32"/>
      <c r="K47" s="32"/>
      <c r="L47" s="37">
        <f>((Dotação_37.08[[#This Row],[DIAS]]*H47)*60)+(Dotação_37.08[[#This Row],[HORAS]]*60)+Dotação_37.08[[#This Row],[MINUTOS]]</f>
        <v>0</v>
      </c>
      <c r="M47" s="45">
        <f t="shared" si="2"/>
        <v>0</v>
      </c>
    </row>
    <row r="48" spans="2:20" ht="17.25" x14ac:dyDescent="0.25">
      <c r="B48" s="33"/>
      <c r="C48" s="62"/>
      <c r="D48" s="33"/>
      <c r="E48" s="34"/>
      <c r="F48" s="35"/>
      <c r="G48" s="56">
        <f>Dotação_37.08[[#This Row],[VALOR DO POSTO]]*Dotação_37.08[[#This Row],[Quantidade]]</f>
        <v>0</v>
      </c>
      <c r="H48" s="42">
        <f t="shared" si="1"/>
        <v>1</v>
      </c>
      <c r="I48" s="36"/>
      <c r="J48" s="36"/>
      <c r="K48" s="36"/>
      <c r="L48" s="38">
        <f>((Dotação_37.08[[#This Row],[DIAS]]*H48)*60)+(Dotação_37.08[[#This Row],[HORAS]]*60)+Dotação_37.08[[#This Row],[MINUTOS]]</f>
        <v>0</v>
      </c>
      <c r="M48" s="45">
        <f t="shared" si="2"/>
        <v>0</v>
      </c>
    </row>
    <row r="49" spans="2:13" ht="18" thickBot="1" x14ac:dyDescent="0.3">
      <c r="B49" s="33"/>
      <c r="C49" s="62"/>
      <c r="D49" s="33"/>
      <c r="E49" s="34"/>
      <c r="F49" s="35"/>
      <c r="G49" s="56">
        <f>Dotação_37.08[[#This Row],[VALOR DO POSTO]]*Dotação_37.08[[#This Row],[Quantidade]]</f>
        <v>0</v>
      </c>
      <c r="H49" s="42">
        <f t="shared" si="1"/>
        <v>1</v>
      </c>
      <c r="I49" s="36"/>
      <c r="J49" s="36"/>
      <c r="K49" s="36"/>
      <c r="L49" s="38">
        <f>((Dotação_37.08[[#This Row],[DIAS]]*H49)*60)+(Dotação_37.08[[#This Row],[HORAS]]*60)+Dotação_37.08[[#This Row],[MINUTOS]]</f>
        <v>0</v>
      </c>
      <c r="M49" s="45">
        <f t="shared" si="2"/>
        <v>0</v>
      </c>
    </row>
    <row r="50" spans="2:13" ht="18" thickBot="1" x14ac:dyDescent="0.3">
      <c r="B50" s="22" t="s">
        <v>127</v>
      </c>
      <c r="C50" s="22"/>
      <c r="D50" s="22">
        <f>SUBTOTAL(109,Dotação_37.08[Quantidade])</f>
        <v>0</v>
      </c>
      <c r="E50" s="23"/>
      <c r="F50" s="24"/>
      <c r="G50" s="57">
        <f>SUBTOTAL(109,Dotação_37.08[VALOR MENSAL])</f>
        <v>0</v>
      </c>
      <c r="H50" s="25"/>
      <c r="I50" s="25"/>
      <c r="J50" s="25"/>
      <c r="K50" s="25"/>
      <c r="L50" s="24"/>
      <c r="M50" s="26">
        <f>SUBTOTAL(109,Dotação_37.08[GLOSA])</f>
        <v>0</v>
      </c>
    </row>
  </sheetData>
  <mergeCells count="17">
    <mergeCell ref="B34:C35"/>
    <mergeCell ref="B6:C6"/>
    <mergeCell ref="B15:C15"/>
    <mergeCell ref="B24:C24"/>
    <mergeCell ref="B2:F2"/>
    <mergeCell ref="B4:F4"/>
    <mergeCell ref="B37:D37"/>
    <mergeCell ref="E37:M37"/>
    <mergeCell ref="B38:B39"/>
    <mergeCell ref="C38:C39"/>
    <mergeCell ref="D38:D39"/>
    <mergeCell ref="E38:E39"/>
    <mergeCell ref="F38:F39"/>
    <mergeCell ref="G38:G39"/>
    <mergeCell ref="H38:H39"/>
    <mergeCell ref="I38:L38"/>
    <mergeCell ref="M38:M39"/>
  </mergeCells>
  <dataValidations count="1">
    <dataValidation type="list" allowBlank="1" showErrorMessage="1" error="ESCOLHER SOMENTE AS OPÇÕES DA LISTA" sqref="E41:E49" xr:uid="{B9016A9E-35B5-4FD6-8DB6-E8B66761E681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4"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1FFBB-4BB4-49CE-918C-806D9FF326C6}">
  <sheetPr codeName="Planilha10"/>
  <dimension ref="B1:T78"/>
  <sheetViews>
    <sheetView showGridLines="0" topLeftCell="A49" zoomScale="85" zoomScaleNormal="85" workbookViewId="0">
      <selection activeCell="M58" sqref="M58:M77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6.140625" style="1" bestFit="1" customWidth="1"/>
    <col min="8" max="8" width="37.140625" style="1" hidden="1" customWidth="1"/>
    <col min="9" max="10" width="9.140625" style="1"/>
    <col min="11" max="11" width="10.28515625" style="1" customWidth="1"/>
    <col min="12" max="12" width="12.7109375" style="1" customWidth="1"/>
    <col min="13" max="13" width="18.85546875" style="1" customWidth="1"/>
    <col min="14" max="16384" width="9.140625" style="1"/>
  </cols>
  <sheetData>
    <row r="1" spans="2:6" ht="11.25" customHeight="1" thickBot="1" x14ac:dyDescent="0.3"/>
    <row r="2" spans="2:6" ht="33" customHeight="1" thickBot="1" x14ac:dyDescent="0.3">
      <c r="B2" s="125" t="s">
        <v>155</v>
      </c>
      <c r="C2" s="126"/>
      <c r="D2" s="126"/>
      <c r="E2" s="126"/>
      <c r="F2" s="127"/>
    </row>
    <row r="3" spans="2:6" ht="9.75" customHeight="1" thickBot="1" x14ac:dyDescent="0.3">
      <c r="B3" s="1"/>
      <c r="C3" s="1"/>
      <c r="E3" s="1"/>
    </row>
    <row r="4" spans="2:6" ht="26.25" customHeight="1" thickBot="1" x14ac:dyDescent="0.3">
      <c r="B4" s="143" t="s">
        <v>184</v>
      </c>
      <c r="C4" s="144"/>
      <c r="D4" s="144"/>
      <c r="E4" s="144"/>
      <c r="F4" s="145"/>
    </row>
    <row r="5" spans="2:6" ht="9.75" customHeight="1" thickBot="1" x14ac:dyDescent="0.3">
      <c r="B5" s="1"/>
      <c r="C5" s="1"/>
      <c r="E5" s="1"/>
    </row>
    <row r="6" spans="2:6" ht="26.25" customHeight="1" thickBot="1" x14ac:dyDescent="0.3">
      <c r="B6" s="128" t="s">
        <v>159</v>
      </c>
      <c r="C6" s="130"/>
      <c r="D6" s="92" t="s">
        <v>176</v>
      </c>
      <c r="E6" s="110">
        <v>0</v>
      </c>
    </row>
    <row r="7" spans="2:6" ht="36.75" customHeight="1" thickBot="1" x14ac:dyDescent="0.3">
      <c r="B7" s="108" t="s">
        <v>0</v>
      </c>
      <c r="C7" s="28" t="s">
        <v>5</v>
      </c>
      <c r="D7" s="59" t="s">
        <v>205</v>
      </c>
      <c r="E7" s="2" t="s">
        <v>1</v>
      </c>
    </row>
    <row r="8" spans="2:6" ht="38.25" customHeight="1" x14ac:dyDescent="0.25">
      <c r="B8" s="17" t="s">
        <v>49</v>
      </c>
      <c r="C8" s="11">
        <v>1</v>
      </c>
      <c r="D8" s="16"/>
      <c r="E8" s="7">
        <f t="shared" ref="E8:E14" si="0">C8*D8</f>
        <v>0</v>
      </c>
    </row>
    <row r="9" spans="2:6" ht="38.25" customHeight="1" x14ac:dyDescent="0.25">
      <c r="B9" s="18" t="s">
        <v>50</v>
      </c>
      <c r="C9" s="12">
        <v>1</v>
      </c>
      <c r="D9" s="14"/>
      <c r="E9" s="8">
        <f t="shared" si="0"/>
        <v>0</v>
      </c>
    </row>
    <row r="10" spans="2:6" ht="38.25" customHeight="1" x14ac:dyDescent="0.25">
      <c r="B10" s="18" t="s">
        <v>73</v>
      </c>
      <c r="C10" s="12">
        <v>2</v>
      </c>
      <c r="D10" s="14"/>
      <c r="E10" s="8">
        <f t="shared" si="0"/>
        <v>0</v>
      </c>
    </row>
    <row r="11" spans="2:6" s="10" customFormat="1" ht="28.5" customHeight="1" x14ac:dyDescent="0.25">
      <c r="B11" s="18" t="s">
        <v>74</v>
      </c>
      <c r="C11" s="12">
        <v>2</v>
      </c>
      <c r="D11" s="14"/>
      <c r="E11" s="8">
        <f t="shared" si="0"/>
        <v>0</v>
      </c>
    </row>
    <row r="12" spans="2:6" ht="39" customHeight="1" x14ac:dyDescent="0.25">
      <c r="B12" s="18" t="s">
        <v>75</v>
      </c>
      <c r="C12" s="12">
        <v>2</v>
      </c>
      <c r="D12" s="14"/>
      <c r="E12" s="8">
        <f t="shared" si="0"/>
        <v>0</v>
      </c>
    </row>
    <row r="13" spans="2:6" ht="39" customHeight="1" x14ac:dyDescent="0.25">
      <c r="B13" s="18" t="s">
        <v>76</v>
      </c>
      <c r="C13" s="12">
        <v>2</v>
      </c>
      <c r="D13" s="14"/>
      <c r="E13" s="8">
        <f t="shared" si="0"/>
        <v>0</v>
      </c>
    </row>
    <row r="14" spans="2:6" ht="45.75" thickBot="1" x14ac:dyDescent="0.3">
      <c r="B14" s="19" t="s">
        <v>77</v>
      </c>
      <c r="C14" s="13">
        <v>2</v>
      </c>
      <c r="D14" s="15"/>
      <c r="E14" s="9">
        <f t="shared" si="0"/>
        <v>0</v>
      </c>
    </row>
    <row r="15" spans="2:6" ht="24.75" customHeight="1" thickBot="1" x14ac:dyDescent="0.3">
      <c r="B15" s="51"/>
      <c r="C15" s="52"/>
      <c r="D15" s="53" t="s">
        <v>150</v>
      </c>
      <c r="E15" s="47">
        <f>SUBTOTAL(109,MERENDEIROS36[PONTOS])</f>
        <v>0</v>
      </c>
    </row>
    <row r="16" spans="2:6" ht="13.5" customHeight="1" thickBot="1" x14ac:dyDescent="0.3"/>
    <row r="17" spans="2:5" s="10" customFormat="1" ht="28.5" customHeight="1" thickBot="1" x14ac:dyDescent="0.3">
      <c r="B17" s="128" t="s">
        <v>164</v>
      </c>
      <c r="C17" s="130"/>
      <c r="D17" s="92" t="s">
        <v>176</v>
      </c>
      <c r="E17" s="110">
        <v>0</v>
      </c>
    </row>
    <row r="18" spans="2:5" ht="33.75" customHeight="1" thickBot="1" x14ac:dyDescent="0.3">
      <c r="B18" s="108" t="s">
        <v>0</v>
      </c>
      <c r="C18" s="28" t="s">
        <v>5</v>
      </c>
      <c r="D18" s="59" t="s">
        <v>205</v>
      </c>
      <c r="E18" s="2" t="s">
        <v>1</v>
      </c>
    </row>
    <row r="19" spans="2:5" ht="38.25" customHeight="1" x14ac:dyDescent="0.25">
      <c r="B19" s="17" t="s">
        <v>49</v>
      </c>
      <c r="C19" s="11">
        <v>1</v>
      </c>
      <c r="D19" s="16"/>
      <c r="E19" s="7">
        <f t="shared" ref="E19:E22" si="1">C19*D19</f>
        <v>0</v>
      </c>
    </row>
    <row r="20" spans="2:5" ht="38.25" customHeight="1" x14ac:dyDescent="0.25">
      <c r="B20" s="18" t="s">
        <v>50</v>
      </c>
      <c r="C20" s="12">
        <v>1</v>
      </c>
      <c r="D20" s="14"/>
      <c r="E20" s="8">
        <f t="shared" si="1"/>
        <v>0</v>
      </c>
    </row>
    <row r="21" spans="2:5" ht="27" customHeight="1" x14ac:dyDescent="0.25">
      <c r="B21" s="18" t="s">
        <v>89</v>
      </c>
      <c r="C21" s="12">
        <v>2</v>
      </c>
      <c r="D21" s="14"/>
      <c r="E21" s="8">
        <f t="shared" si="1"/>
        <v>0</v>
      </c>
    </row>
    <row r="22" spans="2:5" ht="33" customHeight="1" x14ac:dyDescent="0.25">
      <c r="B22" s="18" t="s">
        <v>90</v>
      </c>
      <c r="C22" s="12">
        <v>2</v>
      </c>
      <c r="D22" s="14"/>
      <c r="E22" s="8">
        <f t="shared" si="1"/>
        <v>0</v>
      </c>
    </row>
    <row r="23" spans="2:5" ht="29.25" customHeight="1" x14ac:dyDescent="0.25">
      <c r="B23" s="18" t="s">
        <v>91</v>
      </c>
      <c r="C23" s="12">
        <v>2</v>
      </c>
      <c r="D23" s="14"/>
      <c r="E23" s="8">
        <f>C23*D23</f>
        <v>0</v>
      </c>
    </row>
    <row r="24" spans="2:5" ht="29.25" customHeight="1" x14ac:dyDescent="0.25">
      <c r="B24" s="18" t="s">
        <v>92</v>
      </c>
      <c r="C24" s="12">
        <v>2</v>
      </c>
      <c r="D24" s="14"/>
      <c r="E24" s="8">
        <f>C24*D24</f>
        <v>0</v>
      </c>
    </row>
    <row r="25" spans="2:5" ht="29.25" customHeight="1" thickBot="1" x14ac:dyDescent="0.3">
      <c r="B25" s="19" t="s">
        <v>93</v>
      </c>
      <c r="C25" s="13">
        <v>2</v>
      </c>
      <c r="D25" s="15"/>
      <c r="E25" s="9">
        <f>C25*D25</f>
        <v>0</v>
      </c>
    </row>
    <row r="26" spans="2:5" ht="25.5" customHeight="1" thickBot="1" x14ac:dyDescent="0.3">
      <c r="B26" s="51"/>
      <c r="C26" s="52"/>
      <c r="D26" s="53" t="s">
        <v>150</v>
      </c>
      <c r="E26" s="47">
        <f>SUBTOTAL(109,COZINHEIROS41[PONTOS])</f>
        <v>0</v>
      </c>
    </row>
    <row r="27" spans="2:5" ht="15" customHeight="1" thickBot="1" x14ac:dyDescent="0.3"/>
    <row r="28" spans="2:5" s="10" customFormat="1" ht="29.25" customHeight="1" thickBot="1" x14ac:dyDescent="0.3">
      <c r="B28" s="128" t="s">
        <v>165</v>
      </c>
      <c r="C28" s="130"/>
      <c r="D28" s="92" t="s">
        <v>176</v>
      </c>
      <c r="E28" s="110">
        <v>0</v>
      </c>
    </row>
    <row r="29" spans="2:5" ht="29.25" customHeight="1" thickBot="1" x14ac:dyDescent="0.3">
      <c r="B29" s="108" t="s">
        <v>0</v>
      </c>
      <c r="C29" s="28" t="s">
        <v>5</v>
      </c>
      <c r="D29" s="59" t="s">
        <v>205</v>
      </c>
      <c r="E29" s="2" t="s">
        <v>1</v>
      </c>
    </row>
    <row r="30" spans="2:5" ht="37.5" customHeight="1" x14ac:dyDescent="0.25">
      <c r="B30" s="17" t="s">
        <v>49</v>
      </c>
      <c r="C30" s="11">
        <v>1</v>
      </c>
      <c r="D30" s="16"/>
      <c r="E30" s="7">
        <f t="shared" ref="E30:E37" si="2">C30*D30</f>
        <v>0</v>
      </c>
    </row>
    <row r="31" spans="2:5" ht="37.5" customHeight="1" x14ac:dyDescent="0.25">
      <c r="B31" s="18" t="s">
        <v>61</v>
      </c>
      <c r="C31" s="12">
        <v>1</v>
      </c>
      <c r="D31" s="14"/>
      <c r="E31" s="8">
        <f t="shared" si="2"/>
        <v>0</v>
      </c>
    </row>
    <row r="32" spans="2:5" ht="28.5" customHeight="1" x14ac:dyDescent="0.25">
      <c r="B32" s="18" t="s">
        <v>94</v>
      </c>
      <c r="C32" s="12">
        <v>2</v>
      </c>
      <c r="D32" s="14"/>
      <c r="E32" s="8">
        <f t="shared" si="2"/>
        <v>0</v>
      </c>
    </row>
    <row r="33" spans="2:5" ht="28.5" customHeight="1" x14ac:dyDescent="0.25">
      <c r="B33" s="18" t="s">
        <v>95</v>
      </c>
      <c r="C33" s="12">
        <v>2</v>
      </c>
      <c r="D33" s="14"/>
      <c r="E33" s="8">
        <f t="shared" si="2"/>
        <v>0</v>
      </c>
    </row>
    <row r="34" spans="2:5" ht="28.5" customHeight="1" x14ac:dyDescent="0.25">
      <c r="B34" s="18" t="s">
        <v>96</v>
      </c>
      <c r="C34" s="12">
        <v>2</v>
      </c>
      <c r="D34" s="14"/>
      <c r="E34" s="8">
        <f t="shared" si="2"/>
        <v>0</v>
      </c>
    </row>
    <row r="35" spans="2:5" ht="28.5" customHeight="1" x14ac:dyDescent="0.25">
      <c r="B35" s="18" t="s">
        <v>92</v>
      </c>
      <c r="C35" s="12">
        <v>2</v>
      </c>
      <c r="D35" s="14"/>
      <c r="E35" s="8">
        <f t="shared" si="2"/>
        <v>0</v>
      </c>
    </row>
    <row r="36" spans="2:5" s="10" customFormat="1" ht="28.5" customHeight="1" x14ac:dyDescent="0.25">
      <c r="B36" s="18" t="s">
        <v>93</v>
      </c>
      <c r="C36" s="12">
        <v>2</v>
      </c>
      <c r="D36" s="14"/>
      <c r="E36" s="8">
        <f t="shared" si="2"/>
        <v>0</v>
      </c>
    </row>
    <row r="37" spans="2:5" ht="28.5" customHeight="1" thickBot="1" x14ac:dyDescent="0.3">
      <c r="B37" s="19" t="s">
        <v>97</v>
      </c>
      <c r="C37" s="13">
        <v>2</v>
      </c>
      <c r="D37" s="15"/>
      <c r="E37" s="9">
        <f t="shared" si="2"/>
        <v>0</v>
      </c>
    </row>
    <row r="38" spans="2:5" ht="21.75" customHeight="1" thickBot="1" x14ac:dyDescent="0.3">
      <c r="B38" s="51"/>
      <c r="C38" s="52"/>
      <c r="D38" s="53" t="s">
        <v>150</v>
      </c>
      <c r="E38" s="47">
        <f>SUBTOTAL(109,AUX_COZINHA42[PONTOS])</f>
        <v>0</v>
      </c>
    </row>
    <row r="39" spans="2:5" ht="15" customHeight="1" thickBot="1" x14ac:dyDescent="0.3"/>
    <row r="40" spans="2:5" ht="32.25" customHeight="1" thickBot="1" x14ac:dyDescent="0.3">
      <c r="B40" s="128" t="s">
        <v>169</v>
      </c>
      <c r="C40" s="130"/>
      <c r="D40" s="92" t="s">
        <v>176</v>
      </c>
      <c r="E40" s="110">
        <v>0</v>
      </c>
    </row>
    <row r="41" spans="2:5" ht="37.5" customHeight="1" thickBot="1" x14ac:dyDescent="0.3">
      <c r="B41" s="108" t="s">
        <v>0</v>
      </c>
      <c r="C41" s="28" t="s">
        <v>5</v>
      </c>
      <c r="D41" s="59" t="s">
        <v>205</v>
      </c>
      <c r="E41" s="2" t="s">
        <v>1</v>
      </c>
    </row>
    <row r="42" spans="2:5" s="10" customFormat="1" ht="39" customHeight="1" x14ac:dyDescent="0.25">
      <c r="B42" s="17" t="s">
        <v>49</v>
      </c>
      <c r="C42" s="11">
        <v>1</v>
      </c>
      <c r="D42" s="16"/>
      <c r="E42" s="7">
        <f t="shared" ref="E42:E47" si="3">C42*D42</f>
        <v>0</v>
      </c>
    </row>
    <row r="43" spans="2:5" ht="39" customHeight="1" x14ac:dyDescent="0.25">
      <c r="B43" s="18" t="s">
        <v>50</v>
      </c>
      <c r="C43" s="12">
        <v>1</v>
      </c>
      <c r="D43" s="14"/>
      <c r="E43" s="8">
        <f t="shared" si="3"/>
        <v>0</v>
      </c>
    </row>
    <row r="44" spans="2:5" ht="39" customHeight="1" x14ac:dyDescent="0.25">
      <c r="B44" s="18" t="s">
        <v>108</v>
      </c>
      <c r="C44" s="12">
        <v>2</v>
      </c>
      <c r="D44" s="14"/>
      <c r="E44" s="8">
        <f t="shared" si="3"/>
        <v>0</v>
      </c>
    </row>
    <row r="45" spans="2:5" ht="39" customHeight="1" x14ac:dyDescent="0.25">
      <c r="B45" s="18" t="s">
        <v>109</v>
      </c>
      <c r="C45" s="12">
        <v>2</v>
      </c>
      <c r="D45" s="14"/>
      <c r="E45" s="8">
        <f t="shared" si="3"/>
        <v>0</v>
      </c>
    </row>
    <row r="46" spans="2:5" ht="49.5" customHeight="1" x14ac:dyDescent="0.25">
      <c r="B46" s="18" t="s">
        <v>110</v>
      </c>
      <c r="C46" s="12">
        <v>2</v>
      </c>
      <c r="D46" s="14"/>
      <c r="E46" s="8">
        <f t="shared" si="3"/>
        <v>0</v>
      </c>
    </row>
    <row r="47" spans="2:5" ht="49.5" customHeight="1" thickBot="1" x14ac:dyDescent="0.3">
      <c r="B47" s="19" t="s">
        <v>111</v>
      </c>
      <c r="C47" s="13">
        <v>2</v>
      </c>
      <c r="D47" s="15"/>
      <c r="E47" s="9">
        <f t="shared" si="3"/>
        <v>0</v>
      </c>
    </row>
    <row r="48" spans="2:5" ht="24.75" customHeight="1" thickBot="1" x14ac:dyDescent="0.3">
      <c r="B48" s="51"/>
      <c r="C48" s="52"/>
      <c r="D48" s="53" t="s">
        <v>150</v>
      </c>
      <c r="E48" s="47">
        <f>SUBTOTAL(109,TRATADOR_ANIMAIS46[PONTOS])</f>
        <v>0</v>
      </c>
    </row>
    <row r="49" spans="2:20" ht="15.75" thickBot="1" x14ac:dyDescent="0.3"/>
    <row r="50" spans="2:20" ht="30" customHeight="1" thickBot="1" x14ac:dyDescent="0.3">
      <c r="B50" s="139" t="s">
        <v>207</v>
      </c>
      <c r="C50" s="140"/>
      <c r="D50" s="2" t="s">
        <v>189</v>
      </c>
      <c r="E50" s="2" t="s">
        <v>190</v>
      </c>
    </row>
    <row r="51" spans="2:20" ht="30" customHeight="1" thickBot="1" x14ac:dyDescent="0.3">
      <c r="B51" s="141"/>
      <c r="C51" s="142"/>
      <c r="D51" s="108">
        <f>E40+E28+E17+E6</f>
        <v>0</v>
      </c>
      <c r="E51" s="2">
        <f>SUM(TRATADOR_ANIMAIS46[[#Totals],[PONTOS]]+AUX_COZINHA42[[#Totals],[PONTOS]]+COZINHEIROS41[[#Totals],[PONTOS]]+MERENDEIROS36[[#Totals],[PONTOS]])</f>
        <v>0</v>
      </c>
    </row>
    <row r="52" spans="2:20" ht="15.75" thickBot="1" x14ac:dyDescent="0.3"/>
    <row r="53" spans="2:20" ht="50.25" customHeight="1" thickBot="1" x14ac:dyDescent="0.3">
      <c r="B53" s="133" t="s">
        <v>198</v>
      </c>
      <c r="C53" s="134"/>
      <c r="D53" s="134"/>
      <c r="E53" s="122" t="str">
        <f>B10</f>
        <v>Não utilizar roupas específicas para o desenvolvimento do trabalho, bem como calçados fechados e Equipamentos de Proteção Individual – EPIs</v>
      </c>
      <c r="F53" s="122"/>
      <c r="G53" s="122"/>
      <c r="H53" s="122"/>
      <c r="I53" s="122"/>
      <c r="J53" s="122"/>
      <c r="K53" s="122"/>
      <c r="L53" s="122"/>
      <c r="M53" s="135"/>
      <c r="N53" s="20"/>
    </row>
    <row r="54" spans="2:20" ht="24.75" customHeight="1" thickBot="1" x14ac:dyDescent="0.3">
      <c r="B54" s="131" t="s">
        <v>133</v>
      </c>
      <c r="C54" s="131" t="s">
        <v>178</v>
      </c>
      <c r="D54" s="131" t="s">
        <v>148</v>
      </c>
      <c r="E54" s="131" t="s">
        <v>134</v>
      </c>
      <c r="F54" s="131" t="s">
        <v>191</v>
      </c>
      <c r="G54" s="131" t="s">
        <v>174</v>
      </c>
      <c r="H54" s="131" t="s">
        <v>135</v>
      </c>
      <c r="I54" s="136" t="s">
        <v>136</v>
      </c>
      <c r="J54" s="137"/>
      <c r="K54" s="137"/>
      <c r="L54" s="138"/>
      <c r="M54" s="131" t="s">
        <v>141</v>
      </c>
      <c r="N54" s="20"/>
    </row>
    <row r="55" spans="2:20" ht="34.5" customHeight="1" thickBot="1" x14ac:dyDescent="0.3">
      <c r="B55" s="132"/>
      <c r="C55" s="132"/>
      <c r="D55" s="132"/>
      <c r="E55" s="132"/>
      <c r="F55" s="132"/>
      <c r="G55" s="132"/>
      <c r="H55" s="132"/>
      <c r="I55" s="109" t="s">
        <v>137</v>
      </c>
      <c r="J55" s="109" t="s">
        <v>138</v>
      </c>
      <c r="K55" s="109" t="s">
        <v>139</v>
      </c>
      <c r="L55" s="58" t="s">
        <v>140</v>
      </c>
      <c r="M55" s="132"/>
      <c r="N55" s="20"/>
      <c r="R55" s="65"/>
      <c r="S55" s="65"/>
      <c r="T55" s="65"/>
    </row>
    <row r="56" spans="2:20" ht="87" hidden="1" customHeight="1" x14ac:dyDescent="0.3">
      <c r="B56" s="58" t="s">
        <v>6</v>
      </c>
      <c r="C56" s="58" t="s">
        <v>177</v>
      </c>
      <c r="D56" s="58" t="s">
        <v>148</v>
      </c>
      <c r="E56" s="58" t="s">
        <v>4</v>
      </c>
      <c r="F56" s="58" t="s">
        <v>3</v>
      </c>
      <c r="G56" s="58" t="s">
        <v>175</v>
      </c>
      <c r="H56" s="46" t="s">
        <v>129</v>
      </c>
      <c r="I56" s="58" t="s">
        <v>130</v>
      </c>
      <c r="J56" s="58" t="s">
        <v>131</v>
      </c>
      <c r="K56" s="58" t="s">
        <v>132</v>
      </c>
      <c r="L56" s="58" t="s">
        <v>126</v>
      </c>
      <c r="M56" s="58" t="s">
        <v>2</v>
      </c>
      <c r="N56" s="20"/>
      <c r="R56" s="65"/>
      <c r="S56" s="65"/>
      <c r="T56" s="65"/>
    </row>
    <row r="57" spans="2:20" ht="18.75" x14ac:dyDescent="0.25">
      <c r="B57" s="67"/>
      <c r="C57" s="39"/>
      <c r="D57" s="39"/>
      <c r="E57" s="40"/>
      <c r="F57" s="41"/>
      <c r="G57" s="54">
        <f>Dotação_37.09[[#This Row],[VALOR DO POSTO]]*Dotação_37.09[[#This Row],[Quantidade]]</f>
        <v>0</v>
      </c>
      <c r="H57" s="42">
        <f t="shared" ref="H57:H77" si="4">IF(E57=20,4,IF(OR(E57=30,E57=36),6,IF(OR(E57=40,E57=44,E57=48),8,IF(OR(E57="12x36",E57="12-SDF"),12,1))))</f>
        <v>1</v>
      </c>
      <c r="I57" s="43"/>
      <c r="J57" s="43"/>
      <c r="K57" s="43"/>
      <c r="L57" s="44">
        <f>((Dotação_37.09[[#This Row],[DIAS]]*H57)*60)+(Dotação_37.09[[#This Row],[HORAS]]*60)+Dotação_37.09[[#This Row],[MINUTOS]]</f>
        <v>0</v>
      </c>
      <c r="M57" s="45">
        <f t="shared" ref="M57:M77" si="5">IF(E57=20,F57/6000*L57,IF(E57=30,F57/9000*L57,IF(E57=36,F57/10800*L57,IF(E57=40,F57/12000*L57,IF(E57=44,F57/13200*L57,IF(E57=48,F57/14400*L57,IF(E57="12x36",F57/21600*L57,IF(E57="12-SDF",F57/5760*L57,0))))))))</f>
        <v>0</v>
      </c>
      <c r="N57" s="21"/>
      <c r="Q57" s="65"/>
      <c r="R57" s="65"/>
      <c r="S57" s="65"/>
      <c r="T57" s="65"/>
    </row>
    <row r="58" spans="2:20" ht="17.25" x14ac:dyDescent="0.25">
      <c r="B58" s="68"/>
      <c r="C58" s="33"/>
      <c r="D58" s="29"/>
      <c r="E58" s="30"/>
      <c r="F58" s="31"/>
      <c r="G58" s="54">
        <f>Dotação_37.09[[#This Row],[VALOR DO POSTO]]*Dotação_37.09[[#This Row],[Quantidade]]</f>
        <v>0</v>
      </c>
      <c r="H58" s="42">
        <f t="shared" si="4"/>
        <v>1</v>
      </c>
      <c r="I58" s="32"/>
      <c r="J58" s="32"/>
      <c r="K58" s="32"/>
      <c r="L58" s="37">
        <f>((Dotação_37.09[[#This Row],[DIAS]]*H58)*60)+(Dotação_37.09[[#This Row],[HORAS]]*60)+Dotação_37.09[[#This Row],[MINUTOS]]</f>
        <v>0</v>
      </c>
      <c r="M58" s="45">
        <f t="shared" si="5"/>
        <v>0</v>
      </c>
      <c r="Q58" s="65"/>
      <c r="R58" s="65"/>
      <c r="S58" s="65"/>
      <c r="T58" s="65"/>
    </row>
    <row r="59" spans="2:20" ht="17.25" x14ac:dyDescent="0.25">
      <c r="B59" s="69"/>
      <c r="C59" s="29"/>
      <c r="D59" s="33"/>
      <c r="E59" s="34"/>
      <c r="F59" s="35"/>
      <c r="G59" s="55">
        <f>Dotação_37.09[[#This Row],[VALOR DO POSTO]]*Dotação_37.09[[#This Row],[Quantidade]]</f>
        <v>0</v>
      </c>
      <c r="H59" s="42">
        <f t="shared" si="4"/>
        <v>1</v>
      </c>
      <c r="I59" s="36"/>
      <c r="J59" s="36"/>
      <c r="K59" s="36"/>
      <c r="L59" s="37">
        <f>((Dotação_37.09[[#This Row],[DIAS]]*H59)*60)+(Dotação_37.09[[#This Row],[HORAS]]*60)+Dotação_37.09[[#This Row],[MINUTOS]]</f>
        <v>0</v>
      </c>
      <c r="M59" s="45">
        <f t="shared" si="5"/>
        <v>0</v>
      </c>
      <c r="Q59" s="65"/>
      <c r="R59" s="65"/>
      <c r="S59" s="65"/>
      <c r="T59" s="65"/>
    </row>
    <row r="60" spans="2:20" ht="17.25" x14ac:dyDescent="0.25">
      <c r="B60" s="69"/>
      <c r="C60" s="33"/>
      <c r="D60" s="29"/>
      <c r="E60" s="30"/>
      <c r="F60" s="31"/>
      <c r="G60" s="55">
        <f>Dotação_37.09[[#This Row],[VALOR DO POSTO]]*Dotação_37.09[[#This Row],[Quantidade]]</f>
        <v>0</v>
      </c>
      <c r="H60" s="42">
        <f t="shared" si="4"/>
        <v>1</v>
      </c>
      <c r="I60" s="32"/>
      <c r="J60" s="32"/>
      <c r="K60" s="32"/>
      <c r="L60" s="37">
        <f>((Dotação_37.09[[#This Row],[DIAS]]*H60)*60)+(Dotação_37.09[[#This Row],[HORAS]]*60)+Dotação_37.09[[#This Row],[MINUTOS]]</f>
        <v>0</v>
      </c>
      <c r="M60" s="45">
        <f t="shared" si="5"/>
        <v>0</v>
      </c>
      <c r="R60" s="65"/>
      <c r="S60" s="65"/>
      <c r="T60" s="65"/>
    </row>
    <row r="61" spans="2:20" ht="17.25" x14ac:dyDescent="0.25">
      <c r="B61" s="69"/>
      <c r="C61" s="29"/>
      <c r="D61" s="29"/>
      <c r="E61" s="30"/>
      <c r="F61" s="31"/>
      <c r="G61" s="55">
        <f>Dotação_37.09[[#This Row],[VALOR DO POSTO]]*Dotação_37.09[[#This Row],[Quantidade]]</f>
        <v>0</v>
      </c>
      <c r="H61" s="42">
        <f t="shared" si="4"/>
        <v>1</v>
      </c>
      <c r="I61" s="32"/>
      <c r="J61" s="32"/>
      <c r="K61" s="32"/>
      <c r="L61" s="37">
        <f>((Dotação_37.09[[#This Row],[DIAS]]*H61)*60)+(Dotação_37.09[[#This Row],[HORAS]]*60)+Dotação_37.09[[#This Row],[MINUTOS]]</f>
        <v>0</v>
      </c>
      <c r="M61" s="45">
        <f t="shared" si="5"/>
        <v>0</v>
      </c>
    </row>
    <row r="62" spans="2:20" ht="17.25" x14ac:dyDescent="0.25">
      <c r="B62" s="69"/>
      <c r="C62" s="29"/>
      <c r="D62" s="29"/>
      <c r="E62" s="30"/>
      <c r="F62" s="31"/>
      <c r="G62" s="55">
        <f>Dotação_37.09[[#This Row],[VALOR DO POSTO]]*Dotação_37.09[[#This Row],[Quantidade]]</f>
        <v>0</v>
      </c>
      <c r="H62" s="42">
        <f t="shared" si="4"/>
        <v>1</v>
      </c>
      <c r="I62" s="32"/>
      <c r="J62" s="32"/>
      <c r="K62" s="32"/>
      <c r="L62" s="37">
        <f>((Dotação_37.09[[#This Row],[DIAS]]*H62)*60)+(Dotação_37.09[[#This Row],[HORAS]]*60)+Dotação_37.09[[#This Row],[MINUTOS]]</f>
        <v>0</v>
      </c>
      <c r="M62" s="45">
        <f t="shared" si="5"/>
        <v>0</v>
      </c>
    </row>
    <row r="63" spans="2:20" ht="17.25" x14ac:dyDescent="0.25">
      <c r="B63" s="29"/>
      <c r="C63" s="61"/>
      <c r="D63" s="29"/>
      <c r="E63" s="30"/>
      <c r="F63" s="31"/>
      <c r="G63" s="55">
        <f>Dotação_37.09[[#This Row],[VALOR DO POSTO]]*Dotação_37.09[[#This Row],[Quantidade]]</f>
        <v>0</v>
      </c>
      <c r="H63" s="42">
        <f t="shared" si="4"/>
        <v>1</v>
      </c>
      <c r="I63" s="32"/>
      <c r="J63" s="32"/>
      <c r="K63" s="32"/>
      <c r="L63" s="37">
        <f>((Dotação_37.09[[#This Row],[DIAS]]*H63)*60)+(Dotação_37.09[[#This Row],[HORAS]]*60)+Dotação_37.09[[#This Row],[MINUTOS]]</f>
        <v>0</v>
      </c>
      <c r="M63" s="45">
        <f t="shared" si="5"/>
        <v>0</v>
      </c>
    </row>
    <row r="64" spans="2:20" ht="17.25" x14ac:dyDescent="0.25">
      <c r="B64" s="29"/>
      <c r="C64" s="61"/>
      <c r="D64" s="29"/>
      <c r="E64" s="30"/>
      <c r="F64" s="31"/>
      <c r="G64" s="55">
        <f>Dotação_37.09[[#This Row],[VALOR DO POSTO]]*Dotação_37.09[[#This Row],[Quantidade]]</f>
        <v>0</v>
      </c>
      <c r="H64" s="42">
        <f t="shared" si="4"/>
        <v>1</v>
      </c>
      <c r="I64" s="32"/>
      <c r="J64" s="32"/>
      <c r="K64" s="32"/>
      <c r="L64" s="37">
        <f>((Dotação_37.09[[#This Row],[DIAS]]*H64)*60)+(Dotação_37.09[[#This Row],[HORAS]]*60)+Dotação_37.09[[#This Row],[MINUTOS]]</f>
        <v>0</v>
      </c>
      <c r="M64" s="45">
        <f t="shared" si="5"/>
        <v>0</v>
      </c>
    </row>
    <row r="65" spans="2:13" ht="17.25" x14ac:dyDescent="0.25">
      <c r="B65" s="29"/>
      <c r="C65" s="61"/>
      <c r="D65" s="29"/>
      <c r="E65" s="30"/>
      <c r="F65" s="31"/>
      <c r="G65" s="55">
        <f>Dotação_37.09[[#This Row],[VALOR DO POSTO]]*Dotação_37.09[[#This Row],[Quantidade]]</f>
        <v>0</v>
      </c>
      <c r="H65" s="42">
        <f t="shared" si="4"/>
        <v>1</v>
      </c>
      <c r="I65" s="32"/>
      <c r="J65" s="32"/>
      <c r="K65" s="32"/>
      <c r="L65" s="37">
        <f>((Dotação_37.09[[#This Row],[DIAS]]*H65)*60)+(Dotação_37.09[[#This Row],[HORAS]]*60)+Dotação_37.09[[#This Row],[MINUTOS]]</f>
        <v>0</v>
      </c>
      <c r="M65" s="45">
        <f t="shared" si="5"/>
        <v>0</v>
      </c>
    </row>
    <row r="66" spans="2:13" ht="17.25" x14ac:dyDescent="0.25">
      <c r="B66" s="29"/>
      <c r="C66" s="61"/>
      <c r="D66" s="29"/>
      <c r="E66" s="30"/>
      <c r="F66" s="31"/>
      <c r="G66" s="55">
        <f>Dotação_37.09[[#This Row],[VALOR DO POSTO]]*Dotação_37.09[[#This Row],[Quantidade]]</f>
        <v>0</v>
      </c>
      <c r="H66" s="42">
        <f t="shared" si="4"/>
        <v>1</v>
      </c>
      <c r="I66" s="32"/>
      <c r="J66" s="32"/>
      <c r="K66" s="32"/>
      <c r="L66" s="37">
        <f>((Dotação_37.09[[#This Row],[DIAS]]*H66)*60)+(Dotação_37.09[[#This Row],[HORAS]]*60)+Dotação_37.09[[#This Row],[MINUTOS]]</f>
        <v>0</v>
      </c>
      <c r="M66" s="45">
        <f t="shared" si="5"/>
        <v>0</v>
      </c>
    </row>
    <row r="67" spans="2:13" ht="17.25" x14ac:dyDescent="0.25">
      <c r="B67" s="29"/>
      <c r="C67" s="61"/>
      <c r="D67" s="29"/>
      <c r="E67" s="30"/>
      <c r="F67" s="31"/>
      <c r="G67" s="55">
        <f>Dotação_37.09[[#This Row],[VALOR DO POSTO]]*Dotação_37.09[[#This Row],[Quantidade]]</f>
        <v>0</v>
      </c>
      <c r="H67" s="42">
        <f t="shared" si="4"/>
        <v>1</v>
      </c>
      <c r="I67" s="32"/>
      <c r="J67" s="32"/>
      <c r="K67" s="32"/>
      <c r="L67" s="37">
        <f>((Dotação_37.09[[#This Row],[DIAS]]*H67)*60)+(Dotação_37.09[[#This Row],[HORAS]]*60)+Dotação_37.09[[#This Row],[MINUTOS]]</f>
        <v>0</v>
      </c>
      <c r="M67" s="45">
        <f t="shared" si="5"/>
        <v>0</v>
      </c>
    </row>
    <row r="68" spans="2:13" ht="17.25" x14ac:dyDescent="0.25">
      <c r="B68" s="29"/>
      <c r="C68" s="61"/>
      <c r="D68" s="29"/>
      <c r="E68" s="30"/>
      <c r="F68" s="31"/>
      <c r="G68" s="55">
        <f>Dotação_37.09[[#This Row],[VALOR DO POSTO]]*Dotação_37.09[[#This Row],[Quantidade]]</f>
        <v>0</v>
      </c>
      <c r="H68" s="42">
        <f t="shared" si="4"/>
        <v>1</v>
      </c>
      <c r="I68" s="32"/>
      <c r="J68" s="32"/>
      <c r="K68" s="32"/>
      <c r="L68" s="37">
        <f>((Dotação_37.09[[#This Row],[DIAS]]*H68)*60)+(Dotação_37.09[[#This Row],[HORAS]]*60)+Dotação_37.09[[#This Row],[MINUTOS]]</f>
        <v>0</v>
      </c>
      <c r="M68" s="45">
        <f t="shared" si="5"/>
        <v>0</v>
      </c>
    </row>
    <row r="69" spans="2:13" ht="17.25" x14ac:dyDescent="0.25">
      <c r="B69" s="29"/>
      <c r="C69" s="61"/>
      <c r="D69" s="29"/>
      <c r="E69" s="30"/>
      <c r="F69" s="31"/>
      <c r="G69" s="55">
        <f>Dotação_37.09[[#This Row],[VALOR DO POSTO]]*Dotação_37.09[[#This Row],[Quantidade]]</f>
        <v>0</v>
      </c>
      <c r="H69" s="42">
        <f t="shared" si="4"/>
        <v>1</v>
      </c>
      <c r="I69" s="32"/>
      <c r="J69" s="32"/>
      <c r="K69" s="32"/>
      <c r="L69" s="37">
        <f>((Dotação_37.09[[#This Row],[DIAS]]*H69)*60)+(Dotação_37.09[[#This Row],[HORAS]]*60)+Dotação_37.09[[#This Row],[MINUTOS]]</f>
        <v>0</v>
      </c>
      <c r="M69" s="45">
        <f t="shared" si="5"/>
        <v>0</v>
      </c>
    </row>
    <row r="70" spans="2:13" ht="17.25" x14ac:dyDescent="0.25">
      <c r="B70" s="29"/>
      <c r="C70" s="61"/>
      <c r="D70" s="29"/>
      <c r="E70" s="30"/>
      <c r="F70" s="31"/>
      <c r="G70" s="55">
        <f>Dotação_37.09[[#This Row],[VALOR DO POSTO]]*Dotação_37.09[[#This Row],[Quantidade]]</f>
        <v>0</v>
      </c>
      <c r="H70" s="42">
        <f t="shared" si="4"/>
        <v>1</v>
      </c>
      <c r="I70" s="32"/>
      <c r="J70" s="32"/>
      <c r="K70" s="32"/>
      <c r="L70" s="37">
        <f>((Dotação_37.09[[#This Row],[DIAS]]*H70)*60)+(Dotação_37.09[[#This Row],[HORAS]]*60)+Dotação_37.09[[#This Row],[MINUTOS]]</f>
        <v>0</v>
      </c>
      <c r="M70" s="45">
        <f t="shared" si="5"/>
        <v>0</v>
      </c>
    </row>
    <row r="71" spans="2:13" ht="17.25" x14ac:dyDescent="0.25">
      <c r="B71" s="29"/>
      <c r="C71" s="61"/>
      <c r="D71" s="29"/>
      <c r="E71" s="30"/>
      <c r="F71" s="31"/>
      <c r="G71" s="55">
        <f>Dotação_37.09[[#This Row],[VALOR DO POSTO]]*Dotação_37.09[[#This Row],[Quantidade]]</f>
        <v>0</v>
      </c>
      <c r="H71" s="42">
        <f t="shared" si="4"/>
        <v>1</v>
      </c>
      <c r="I71" s="32"/>
      <c r="J71" s="32"/>
      <c r="K71" s="32"/>
      <c r="L71" s="37">
        <f>((Dotação_37.09[[#This Row],[DIAS]]*H71)*60)+(Dotação_37.09[[#This Row],[HORAS]]*60)+Dotação_37.09[[#This Row],[MINUTOS]]</f>
        <v>0</v>
      </c>
      <c r="M71" s="45">
        <f t="shared" si="5"/>
        <v>0</v>
      </c>
    </row>
    <row r="72" spans="2:13" ht="17.25" x14ac:dyDescent="0.25">
      <c r="B72" s="29"/>
      <c r="C72" s="61"/>
      <c r="D72" s="29"/>
      <c r="E72" s="30"/>
      <c r="F72" s="31"/>
      <c r="G72" s="55">
        <f>Dotação_37.09[[#This Row],[VALOR DO POSTO]]*Dotação_37.09[[#This Row],[Quantidade]]</f>
        <v>0</v>
      </c>
      <c r="H72" s="42">
        <f t="shared" si="4"/>
        <v>1</v>
      </c>
      <c r="I72" s="32"/>
      <c r="J72" s="32"/>
      <c r="K72" s="32"/>
      <c r="L72" s="37">
        <f>((Dotação_37.09[[#This Row],[DIAS]]*H72)*60)+(Dotação_37.09[[#This Row],[HORAS]]*60)+Dotação_37.09[[#This Row],[MINUTOS]]</f>
        <v>0</v>
      </c>
      <c r="M72" s="45">
        <f t="shared" si="5"/>
        <v>0</v>
      </c>
    </row>
    <row r="73" spans="2:13" ht="17.25" x14ac:dyDescent="0.25">
      <c r="B73" s="29"/>
      <c r="C73" s="61"/>
      <c r="D73" s="29"/>
      <c r="E73" s="30"/>
      <c r="F73" s="31"/>
      <c r="G73" s="55">
        <f>Dotação_37.09[[#This Row],[VALOR DO POSTO]]*Dotação_37.09[[#This Row],[Quantidade]]</f>
        <v>0</v>
      </c>
      <c r="H73" s="42">
        <f t="shared" si="4"/>
        <v>1</v>
      </c>
      <c r="I73" s="32"/>
      <c r="J73" s="32"/>
      <c r="K73" s="32"/>
      <c r="L73" s="37">
        <f>((Dotação_37.09[[#This Row],[DIAS]]*H73)*60)+(Dotação_37.09[[#This Row],[HORAS]]*60)+Dotação_37.09[[#This Row],[MINUTOS]]</f>
        <v>0</v>
      </c>
      <c r="M73" s="45">
        <f t="shared" si="5"/>
        <v>0</v>
      </c>
    </row>
    <row r="74" spans="2:13" ht="17.25" x14ac:dyDescent="0.25">
      <c r="B74" s="29"/>
      <c r="C74" s="61"/>
      <c r="D74" s="29"/>
      <c r="E74" s="30"/>
      <c r="F74" s="31"/>
      <c r="G74" s="55">
        <f>Dotação_37.09[[#This Row],[VALOR DO POSTO]]*Dotação_37.09[[#This Row],[Quantidade]]</f>
        <v>0</v>
      </c>
      <c r="H74" s="42">
        <f t="shared" si="4"/>
        <v>1</v>
      </c>
      <c r="I74" s="32"/>
      <c r="J74" s="32"/>
      <c r="K74" s="32"/>
      <c r="L74" s="37">
        <f>((Dotação_37.09[[#This Row],[DIAS]]*H74)*60)+(Dotação_37.09[[#This Row],[HORAS]]*60)+Dotação_37.09[[#This Row],[MINUTOS]]</f>
        <v>0</v>
      </c>
      <c r="M74" s="45">
        <f t="shared" si="5"/>
        <v>0</v>
      </c>
    </row>
    <row r="75" spans="2:13" ht="17.25" x14ac:dyDescent="0.25">
      <c r="B75" s="29"/>
      <c r="C75" s="61"/>
      <c r="D75" s="29"/>
      <c r="E75" s="30"/>
      <c r="F75" s="31"/>
      <c r="G75" s="55">
        <f>Dotação_37.09[[#This Row],[VALOR DO POSTO]]*Dotação_37.09[[#This Row],[Quantidade]]</f>
        <v>0</v>
      </c>
      <c r="H75" s="42">
        <f t="shared" si="4"/>
        <v>1</v>
      </c>
      <c r="I75" s="32"/>
      <c r="J75" s="32"/>
      <c r="K75" s="32"/>
      <c r="L75" s="37">
        <f>((Dotação_37.09[[#This Row],[DIAS]]*H75)*60)+(Dotação_37.09[[#This Row],[HORAS]]*60)+Dotação_37.09[[#This Row],[MINUTOS]]</f>
        <v>0</v>
      </c>
      <c r="M75" s="45">
        <f t="shared" si="5"/>
        <v>0</v>
      </c>
    </row>
    <row r="76" spans="2:13" ht="17.25" x14ac:dyDescent="0.25">
      <c r="B76" s="33"/>
      <c r="C76" s="62"/>
      <c r="D76" s="33"/>
      <c r="E76" s="34"/>
      <c r="F76" s="35"/>
      <c r="G76" s="56">
        <f>Dotação_37.09[[#This Row],[VALOR DO POSTO]]*Dotação_37.09[[#This Row],[Quantidade]]</f>
        <v>0</v>
      </c>
      <c r="H76" s="42">
        <f t="shared" si="4"/>
        <v>1</v>
      </c>
      <c r="I76" s="32"/>
      <c r="J76" s="36"/>
      <c r="K76" s="36"/>
      <c r="L76" s="38">
        <f>((Dotação_37.09[[#This Row],[DIAS]]*H76)*60)+(Dotação_37.09[[#This Row],[HORAS]]*60)+Dotação_37.09[[#This Row],[MINUTOS]]</f>
        <v>0</v>
      </c>
      <c r="M76" s="45">
        <f t="shared" si="5"/>
        <v>0</v>
      </c>
    </row>
    <row r="77" spans="2:13" ht="18" thickBot="1" x14ac:dyDescent="0.3">
      <c r="B77" s="33"/>
      <c r="C77" s="62"/>
      <c r="D77" s="33"/>
      <c r="E77" s="34"/>
      <c r="F77" s="35"/>
      <c r="G77" s="56">
        <f>Dotação_37.09[[#This Row],[VALOR DO POSTO]]*Dotação_37.09[[#This Row],[Quantidade]]</f>
        <v>0</v>
      </c>
      <c r="H77" s="42">
        <f t="shared" si="4"/>
        <v>1</v>
      </c>
      <c r="I77" s="32"/>
      <c r="J77" s="36"/>
      <c r="K77" s="36"/>
      <c r="L77" s="38">
        <f>((Dotação_37.09[[#This Row],[DIAS]]*H77)*60)+(Dotação_37.09[[#This Row],[HORAS]]*60)+Dotação_37.09[[#This Row],[MINUTOS]]</f>
        <v>0</v>
      </c>
      <c r="M77" s="45">
        <f t="shared" si="5"/>
        <v>0</v>
      </c>
    </row>
    <row r="78" spans="2:13" ht="18" thickBot="1" x14ac:dyDescent="0.3">
      <c r="B78" s="22" t="s">
        <v>127</v>
      </c>
      <c r="C78" s="22"/>
      <c r="D78" s="22">
        <f>SUBTOTAL(109,Dotação_37.09[Quantidade])</f>
        <v>0</v>
      </c>
      <c r="E78" s="23"/>
      <c r="F78" s="24"/>
      <c r="G78" s="57">
        <f>SUBTOTAL(109,Dotação_37.09[VALOR MENSAL])</f>
        <v>0</v>
      </c>
      <c r="H78" s="25"/>
      <c r="I78" s="25"/>
      <c r="J78" s="25"/>
      <c r="K78" s="25"/>
      <c r="L78" s="24"/>
      <c r="M78" s="26">
        <f>SUBTOTAL(109,Dotação_37.09[GLOSA])</f>
        <v>0</v>
      </c>
    </row>
  </sheetData>
  <mergeCells count="18">
    <mergeCell ref="B2:F2"/>
    <mergeCell ref="B4:F4"/>
    <mergeCell ref="B50:C51"/>
    <mergeCell ref="B40:C40"/>
    <mergeCell ref="B28:C28"/>
    <mergeCell ref="B17:C17"/>
    <mergeCell ref="B6:C6"/>
    <mergeCell ref="B53:D53"/>
    <mergeCell ref="E53:M53"/>
    <mergeCell ref="B54:B55"/>
    <mergeCell ref="C54:C55"/>
    <mergeCell ref="D54:D55"/>
    <mergeCell ref="E54:E55"/>
    <mergeCell ref="F54:F55"/>
    <mergeCell ref="G54:G55"/>
    <mergeCell ref="H54:H55"/>
    <mergeCell ref="I54:L54"/>
    <mergeCell ref="M54:M55"/>
  </mergeCells>
  <dataValidations count="1">
    <dataValidation type="list" allowBlank="1" showErrorMessage="1" error="ESCOLHER SOMENTE AS OPÇÕES DA LISTA" sqref="E57:E77" xr:uid="{810DBE2A-AC8E-4267-A9D3-18A66D5C964D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5">
    <tablePart r:id="rId2"/>
    <tablePart r:id="rId3"/>
    <tablePart r:id="rId4"/>
    <tablePart r:id="rId5"/>
    <tablePart r:id="rId6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242CA-2BF1-4542-834A-2B87E4D134C1}">
  <sheetPr codeName="Planilha4"/>
  <dimension ref="B1:T32"/>
  <sheetViews>
    <sheetView showGridLines="0" zoomScale="85" zoomScaleNormal="85" workbookViewId="0">
      <selection activeCell="M24" sqref="M24:M31"/>
    </sheetView>
  </sheetViews>
  <sheetFormatPr defaultRowHeight="15" x14ac:dyDescent="0.25"/>
  <cols>
    <col min="1" max="1" width="7.140625" style="1" customWidth="1"/>
    <col min="2" max="2" width="102" style="4" customWidth="1"/>
    <col min="3" max="3" width="15.140625" style="5" customWidth="1"/>
    <col min="4" max="4" width="19.28515625" style="1" customWidth="1"/>
    <col min="5" max="5" width="19" style="3" customWidth="1"/>
    <col min="6" max="6" width="19.5703125" style="1" customWidth="1"/>
    <col min="7" max="7" width="19" style="1" customWidth="1"/>
    <col min="8" max="8" width="9.140625" style="1" hidden="1" customWidth="1"/>
    <col min="9" max="10" width="9.140625" style="1"/>
    <col min="11" max="11" width="10.42578125" style="1" customWidth="1"/>
    <col min="12" max="12" width="11.140625" style="1" customWidth="1"/>
    <col min="13" max="13" width="16.42578125" style="1" customWidth="1"/>
    <col min="14" max="16384" width="9.140625" style="1"/>
  </cols>
  <sheetData>
    <row r="1" spans="2:5" ht="11.25" customHeight="1" thickBot="1" x14ac:dyDescent="0.3"/>
    <row r="2" spans="2:5" ht="24.75" customHeight="1" thickBot="1" x14ac:dyDescent="0.3">
      <c r="B2" s="125" t="s">
        <v>155</v>
      </c>
      <c r="C2" s="126"/>
      <c r="D2" s="126"/>
      <c r="E2" s="127"/>
    </row>
    <row r="3" spans="2:5" ht="4.5" customHeight="1" thickBot="1" x14ac:dyDescent="0.3">
      <c r="B3" s="1"/>
      <c r="C3" s="1"/>
      <c r="E3" s="1"/>
    </row>
    <row r="4" spans="2:5" ht="18" customHeight="1" thickBot="1" x14ac:dyDescent="0.3">
      <c r="B4" s="143" t="s">
        <v>185</v>
      </c>
      <c r="C4" s="144"/>
      <c r="D4" s="144"/>
      <c r="E4" s="145"/>
    </row>
    <row r="5" spans="2:5" ht="5.25" customHeight="1" thickBot="1" x14ac:dyDescent="0.3">
      <c r="B5" s="1"/>
      <c r="C5" s="1"/>
      <c r="E5" s="1"/>
    </row>
    <row r="6" spans="2:5" ht="26.25" customHeight="1" thickBot="1" x14ac:dyDescent="0.3">
      <c r="B6" s="105" t="s">
        <v>173</v>
      </c>
      <c r="C6" s="106"/>
      <c r="D6" s="92" t="s">
        <v>176</v>
      </c>
      <c r="E6" s="110">
        <v>0</v>
      </c>
    </row>
    <row r="7" spans="2:5" ht="32.25" customHeight="1" thickBot="1" x14ac:dyDescent="0.3">
      <c r="B7" s="108" t="s">
        <v>0</v>
      </c>
      <c r="C7" s="28" t="s">
        <v>5</v>
      </c>
      <c r="D7" s="108" t="s">
        <v>205</v>
      </c>
      <c r="E7" s="28" t="s">
        <v>1</v>
      </c>
    </row>
    <row r="8" spans="2:5" ht="30.75" customHeight="1" x14ac:dyDescent="0.25">
      <c r="B8" s="17" t="s">
        <v>49</v>
      </c>
      <c r="C8" s="11">
        <v>1</v>
      </c>
      <c r="D8" s="16"/>
      <c r="E8" s="7">
        <f t="shared" ref="E8:E13" si="0">C8*D8</f>
        <v>0</v>
      </c>
    </row>
    <row r="9" spans="2:5" ht="30.75" customHeight="1" x14ac:dyDescent="0.25">
      <c r="B9" s="18" t="s">
        <v>61</v>
      </c>
      <c r="C9" s="12">
        <v>1</v>
      </c>
      <c r="D9" s="14"/>
      <c r="E9" s="8">
        <f t="shared" si="0"/>
        <v>0</v>
      </c>
    </row>
    <row r="10" spans="2:5" ht="30.75" customHeight="1" x14ac:dyDescent="0.25">
      <c r="B10" s="18" t="s">
        <v>121</v>
      </c>
      <c r="C10" s="12">
        <v>2</v>
      </c>
      <c r="D10" s="14"/>
      <c r="E10" s="8">
        <f t="shared" si="0"/>
        <v>0</v>
      </c>
    </row>
    <row r="11" spans="2:5" ht="30.75" customHeight="1" x14ac:dyDescent="0.25">
      <c r="B11" s="18" t="s">
        <v>122</v>
      </c>
      <c r="C11" s="12">
        <v>2</v>
      </c>
      <c r="D11" s="14"/>
      <c r="E11" s="8">
        <f t="shared" si="0"/>
        <v>0</v>
      </c>
    </row>
    <row r="12" spans="2:5" ht="30.75" customHeight="1" x14ac:dyDescent="0.25">
      <c r="B12" s="18" t="s">
        <v>123</v>
      </c>
      <c r="C12" s="12">
        <v>2</v>
      </c>
      <c r="D12" s="14"/>
      <c r="E12" s="8">
        <f t="shared" si="0"/>
        <v>0</v>
      </c>
    </row>
    <row r="13" spans="2:5" ht="30.75" customHeight="1" thickBot="1" x14ac:dyDescent="0.3">
      <c r="B13" s="19" t="s">
        <v>124</v>
      </c>
      <c r="C13" s="13">
        <v>2</v>
      </c>
      <c r="D13" s="15"/>
      <c r="E13" s="9">
        <f t="shared" si="0"/>
        <v>0</v>
      </c>
    </row>
    <row r="14" spans="2:5" ht="21" customHeight="1" thickBot="1" x14ac:dyDescent="0.3">
      <c r="B14" s="51"/>
      <c r="C14" s="52"/>
      <c r="D14" s="53" t="s">
        <v>150</v>
      </c>
      <c r="E14" s="47">
        <f>SUBTOTAL(109,VIGIAS_FLORESTAIS65[PONTOS])</f>
        <v>0</v>
      </c>
    </row>
    <row r="15" spans="2:5" ht="10.5" customHeight="1" thickBot="1" x14ac:dyDescent="0.3"/>
    <row r="16" spans="2:5" ht="29.25" customHeight="1" thickBot="1" x14ac:dyDescent="0.3">
      <c r="B16" s="139" t="s">
        <v>207</v>
      </c>
      <c r="C16" s="140"/>
      <c r="D16" s="2" t="s">
        <v>189</v>
      </c>
      <c r="E16" s="2" t="s">
        <v>190</v>
      </c>
    </row>
    <row r="17" spans="2:20" ht="21.75" customHeight="1" thickBot="1" x14ac:dyDescent="0.3">
      <c r="B17" s="141"/>
      <c r="C17" s="142"/>
      <c r="D17" s="108">
        <f>E6</f>
        <v>0</v>
      </c>
      <c r="E17" s="2">
        <f>VIGIAS_FLORESTAIS65[[#Totals],[PONTOS]]</f>
        <v>0</v>
      </c>
    </row>
    <row r="18" spans="2:20" ht="10.5" customHeight="1" thickBot="1" x14ac:dyDescent="0.3"/>
    <row r="19" spans="2:20" ht="34.5" customHeight="1" thickBot="1" x14ac:dyDescent="0.3">
      <c r="B19" s="133" t="s">
        <v>198</v>
      </c>
      <c r="C19" s="134"/>
      <c r="D19" s="134"/>
      <c r="E19" s="122" t="str">
        <f>B4</f>
        <v>BLOCO 7 - POSTOS COM DOTAÇÃO ORÇAMENTÁRIA: 3390-37.02 - VIGIAS FLORESTAIS</v>
      </c>
      <c r="F19" s="122"/>
      <c r="G19" s="122"/>
      <c r="H19" s="122"/>
      <c r="I19" s="122"/>
      <c r="J19" s="122"/>
      <c r="K19" s="122"/>
      <c r="L19" s="122"/>
      <c r="M19" s="135"/>
      <c r="N19" s="20"/>
    </row>
    <row r="20" spans="2:20" ht="18" customHeight="1" thickBot="1" x14ac:dyDescent="0.3">
      <c r="B20" s="131" t="s">
        <v>133</v>
      </c>
      <c r="C20" s="131" t="s">
        <v>178</v>
      </c>
      <c r="D20" s="131" t="s">
        <v>148</v>
      </c>
      <c r="E20" s="131" t="s">
        <v>134</v>
      </c>
      <c r="F20" s="131" t="s">
        <v>191</v>
      </c>
      <c r="G20" s="131" t="s">
        <v>174</v>
      </c>
      <c r="H20" s="131" t="s">
        <v>135</v>
      </c>
      <c r="I20" s="136" t="s">
        <v>136</v>
      </c>
      <c r="J20" s="137"/>
      <c r="K20" s="137"/>
      <c r="L20" s="138"/>
      <c r="M20" s="131" t="s">
        <v>141</v>
      </c>
      <c r="N20" s="20"/>
    </row>
    <row r="21" spans="2:20" ht="33.75" customHeight="1" thickBot="1" x14ac:dyDescent="0.3">
      <c r="B21" s="132"/>
      <c r="C21" s="132"/>
      <c r="D21" s="132"/>
      <c r="E21" s="132"/>
      <c r="F21" s="132"/>
      <c r="G21" s="132"/>
      <c r="H21" s="132"/>
      <c r="I21" s="109" t="s">
        <v>137</v>
      </c>
      <c r="J21" s="109" t="s">
        <v>138</v>
      </c>
      <c r="K21" s="109" t="s">
        <v>139</v>
      </c>
      <c r="L21" s="58" t="s">
        <v>140</v>
      </c>
      <c r="M21" s="132"/>
      <c r="N21" s="20"/>
      <c r="R21" s="65"/>
      <c r="S21" s="65"/>
      <c r="T21" s="65"/>
    </row>
    <row r="22" spans="2:20" ht="87" hidden="1" customHeight="1" x14ac:dyDescent="0.3">
      <c r="B22" s="58" t="s">
        <v>6</v>
      </c>
      <c r="C22" s="58" t="s">
        <v>177</v>
      </c>
      <c r="D22" s="58" t="s">
        <v>148</v>
      </c>
      <c r="E22" s="58" t="s">
        <v>4</v>
      </c>
      <c r="F22" s="58" t="s">
        <v>3</v>
      </c>
      <c r="G22" s="58" t="s">
        <v>175</v>
      </c>
      <c r="H22" s="46" t="s">
        <v>129</v>
      </c>
      <c r="I22" s="58" t="s">
        <v>130</v>
      </c>
      <c r="J22" s="58" t="s">
        <v>131</v>
      </c>
      <c r="K22" s="58" t="s">
        <v>132</v>
      </c>
      <c r="L22" s="58" t="s">
        <v>126</v>
      </c>
      <c r="M22" s="58" t="s">
        <v>2</v>
      </c>
      <c r="N22" s="20"/>
      <c r="R22" s="65"/>
      <c r="S22" s="65"/>
      <c r="T22" s="65"/>
    </row>
    <row r="23" spans="2:20" ht="18.75" x14ac:dyDescent="0.25">
      <c r="B23" s="67"/>
      <c r="C23" s="39"/>
      <c r="D23" s="39"/>
      <c r="E23" s="40"/>
      <c r="F23" s="41"/>
      <c r="G23" s="54">
        <f>dotação_37.02[[#This Row],[VALOR DO POSTO]]*dotação_37.02[[#This Row],[Quantidade]]</f>
        <v>0</v>
      </c>
      <c r="H23" s="42">
        <f t="shared" ref="H23:H31" si="1">IF(E23=20,4,IF(OR(E23=30,E23=36),6,IF(OR(E23=40,E23=44,E23=48),8,IF(OR(E23="12x36",E23="12-SDF"),12,1))))</f>
        <v>1</v>
      </c>
      <c r="I23" s="43"/>
      <c r="J23" s="43"/>
      <c r="K23" s="43"/>
      <c r="L23" s="44">
        <f>((dotação_37.02[[#This Row],[DIAS]]*H23)*60)+(dotação_37.02[[#This Row],[HORAS]]*60)+dotação_37.02[[#This Row],[MINUTOS]]</f>
        <v>0</v>
      </c>
      <c r="M23" s="45">
        <f t="shared" ref="M23:M31" si="2">IF(E23=20,F23/6000*L23,IF(E23=30,F23/9000*L23,IF(E23=36,F23/10800*L23,IF(E23=40,F23/12000*L23,IF(E23=44,F23/13200*L23,IF(E23=48,F23/14400*L23,IF(E23="12x36",F23/21600*L23,IF(E23="12-SDF",F23/5760*L23,0))))))))</f>
        <v>0</v>
      </c>
      <c r="N23" s="21"/>
      <c r="Q23" s="65"/>
      <c r="R23" s="65"/>
      <c r="S23" s="65"/>
      <c r="T23" s="65"/>
    </row>
    <row r="24" spans="2:20" ht="17.25" x14ac:dyDescent="0.25">
      <c r="B24" s="68"/>
      <c r="C24" s="33"/>
      <c r="D24" s="29"/>
      <c r="E24" s="30"/>
      <c r="F24" s="31"/>
      <c r="G24" s="54">
        <f>dotação_37.02[[#This Row],[VALOR DO POSTO]]*dotação_37.02[[#This Row],[Quantidade]]</f>
        <v>0</v>
      </c>
      <c r="H24" s="42">
        <f t="shared" si="1"/>
        <v>1</v>
      </c>
      <c r="I24" s="32"/>
      <c r="J24" s="32"/>
      <c r="K24" s="32"/>
      <c r="L24" s="37">
        <f>((dotação_37.02[[#This Row],[DIAS]]*H24)*60)+(dotação_37.02[[#This Row],[HORAS]]*60)+dotação_37.02[[#This Row],[MINUTOS]]</f>
        <v>0</v>
      </c>
      <c r="M24" s="45">
        <f t="shared" si="2"/>
        <v>0</v>
      </c>
      <c r="Q24" s="65"/>
      <c r="R24" s="65"/>
      <c r="S24" s="65"/>
      <c r="T24" s="65"/>
    </row>
    <row r="25" spans="2:20" ht="17.25" x14ac:dyDescent="0.25">
      <c r="B25" s="69"/>
      <c r="C25" s="29"/>
      <c r="D25" s="33"/>
      <c r="E25" s="34"/>
      <c r="F25" s="35"/>
      <c r="G25" s="55">
        <f>dotação_37.02[[#This Row],[VALOR DO POSTO]]*dotação_37.02[[#This Row],[Quantidade]]</f>
        <v>0</v>
      </c>
      <c r="H25" s="42">
        <f t="shared" si="1"/>
        <v>1</v>
      </c>
      <c r="I25" s="36"/>
      <c r="J25" s="36"/>
      <c r="K25" s="36"/>
      <c r="L25" s="37">
        <f>((dotação_37.02[[#This Row],[DIAS]]*H25)*60)+(dotação_37.02[[#This Row],[HORAS]]*60)+dotação_37.02[[#This Row],[MINUTOS]]</f>
        <v>0</v>
      </c>
      <c r="M25" s="45">
        <f t="shared" si="2"/>
        <v>0</v>
      </c>
      <c r="Q25" s="65"/>
      <c r="R25" s="65"/>
      <c r="S25" s="65"/>
      <c r="T25" s="65"/>
    </row>
    <row r="26" spans="2:20" ht="17.25" x14ac:dyDescent="0.25">
      <c r="B26" s="69"/>
      <c r="C26" s="33"/>
      <c r="D26" s="29"/>
      <c r="E26" s="30"/>
      <c r="F26" s="31"/>
      <c r="G26" s="55">
        <f>dotação_37.02[[#This Row],[VALOR DO POSTO]]*dotação_37.02[[#This Row],[Quantidade]]</f>
        <v>0</v>
      </c>
      <c r="H26" s="42">
        <f t="shared" si="1"/>
        <v>1</v>
      </c>
      <c r="I26" s="32"/>
      <c r="J26" s="32"/>
      <c r="K26" s="32"/>
      <c r="L26" s="37">
        <f>((dotação_37.02[[#This Row],[DIAS]]*H26)*60)+(dotação_37.02[[#This Row],[HORAS]]*60)+dotação_37.02[[#This Row],[MINUTOS]]</f>
        <v>0</v>
      </c>
      <c r="M26" s="45">
        <f t="shared" si="2"/>
        <v>0</v>
      </c>
      <c r="R26" s="65"/>
      <c r="S26" s="65"/>
      <c r="T26" s="65"/>
    </row>
    <row r="27" spans="2:20" ht="17.25" x14ac:dyDescent="0.25">
      <c r="B27" s="69"/>
      <c r="C27" s="29"/>
      <c r="D27" s="29"/>
      <c r="E27" s="30"/>
      <c r="F27" s="31"/>
      <c r="G27" s="55">
        <f>dotação_37.02[[#This Row],[VALOR DO POSTO]]*dotação_37.02[[#This Row],[Quantidade]]</f>
        <v>0</v>
      </c>
      <c r="H27" s="42">
        <f t="shared" si="1"/>
        <v>1</v>
      </c>
      <c r="I27" s="32"/>
      <c r="J27" s="32"/>
      <c r="K27" s="32"/>
      <c r="L27" s="37">
        <f>((dotação_37.02[[#This Row],[DIAS]]*H27)*60)+(dotação_37.02[[#This Row],[HORAS]]*60)+dotação_37.02[[#This Row],[MINUTOS]]</f>
        <v>0</v>
      </c>
      <c r="M27" s="45">
        <f t="shared" si="2"/>
        <v>0</v>
      </c>
    </row>
    <row r="28" spans="2:20" ht="17.25" x14ac:dyDescent="0.25">
      <c r="B28" s="69"/>
      <c r="C28" s="29"/>
      <c r="D28" s="29"/>
      <c r="E28" s="30"/>
      <c r="F28" s="31"/>
      <c r="G28" s="55">
        <f>dotação_37.02[[#This Row],[VALOR DO POSTO]]*dotação_37.02[[#This Row],[Quantidade]]</f>
        <v>0</v>
      </c>
      <c r="H28" s="42">
        <f t="shared" si="1"/>
        <v>1</v>
      </c>
      <c r="I28" s="32"/>
      <c r="J28" s="32"/>
      <c r="K28" s="32"/>
      <c r="L28" s="37">
        <f>((dotação_37.02[[#This Row],[DIAS]]*H28)*60)+(dotação_37.02[[#This Row],[HORAS]]*60)+dotação_37.02[[#This Row],[MINUTOS]]</f>
        <v>0</v>
      </c>
      <c r="M28" s="45">
        <f t="shared" si="2"/>
        <v>0</v>
      </c>
    </row>
    <row r="29" spans="2:20" ht="17.25" x14ac:dyDescent="0.25">
      <c r="B29" s="29"/>
      <c r="C29" s="61"/>
      <c r="D29" s="29"/>
      <c r="E29" s="30"/>
      <c r="F29" s="31"/>
      <c r="G29" s="55">
        <f>dotação_37.02[[#This Row],[VALOR DO POSTO]]*dotação_37.02[[#This Row],[Quantidade]]</f>
        <v>0</v>
      </c>
      <c r="H29" s="42">
        <f t="shared" si="1"/>
        <v>1</v>
      </c>
      <c r="I29" s="32"/>
      <c r="J29" s="32"/>
      <c r="K29" s="32"/>
      <c r="L29" s="37">
        <f>((dotação_37.02[[#This Row],[DIAS]]*H29)*60)+(dotação_37.02[[#This Row],[HORAS]]*60)+dotação_37.02[[#This Row],[MINUTOS]]</f>
        <v>0</v>
      </c>
      <c r="M29" s="45">
        <f t="shared" si="2"/>
        <v>0</v>
      </c>
    </row>
    <row r="30" spans="2:20" ht="17.25" x14ac:dyDescent="0.25">
      <c r="B30" s="33"/>
      <c r="C30" s="62"/>
      <c r="D30" s="33"/>
      <c r="E30" s="34"/>
      <c r="F30" s="35"/>
      <c r="G30" s="56">
        <f>dotação_37.02[[#This Row],[VALOR DO POSTO]]*dotação_37.02[[#This Row],[Quantidade]]</f>
        <v>0</v>
      </c>
      <c r="H30" s="42">
        <f t="shared" si="1"/>
        <v>1</v>
      </c>
      <c r="I30" s="36"/>
      <c r="J30" s="36"/>
      <c r="K30" s="36"/>
      <c r="L30" s="38">
        <f>((dotação_37.02[[#This Row],[DIAS]]*H30)*60)+(dotação_37.02[[#This Row],[HORAS]]*60)+dotação_37.02[[#This Row],[MINUTOS]]</f>
        <v>0</v>
      </c>
      <c r="M30" s="45">
        <f t="shared" si="2"/>
        <v>0</v>
      </c>
    </row>
    <row r="31" spans="2:20" ht="18" thickBot="1" x14ac:dyDescent="0.3">
      <c r="B31" s="33"/>
      <c r="C31" s="62"/>
      <c r="D31" s="33"/>
      <c r="E31" s="34"/>
      <c r="F31" s="35"/>
      <c r="G31" s="56">
        <f>dotação_37.02[[#This Row],[VALOR DO POSTO]]*dotação_37.02[[#This Row],[Quantidade]]</f>
        <v>0</v>
      </c>
      <c r="H31" s="42">
        <f t="shared" si="1"/>
        <v>1</v>
      </c>
      <c r="I31" s="36"/>
      <c r="J31" s="36"/>
      <c r="K31" s="36"/>
      <c r="L31" s="38">
        <f>((dotação_37.02[[#This Row],[DIAS]]*H31)*60)+(dotação_37.02[[#This Row],[HORAS]]*60)+dotação_37.02[[#This Row],[MINUTOS]]</f>
        <v>0</v>
      </c>
      <c r="M31" s="45">
        <f t="shared" si="2"/>
        <v>0</v>
      </c>
    </row>
    <row r="32" spans="2:20" ht="18" thickBot="1" x14ac:dyDescent="0.3">
      <c r="B32" s="22" t="s">
        <v>127</v>
      </c>
      <c r="C32" s="22"/>
      <c r="D32" s="22">
        <f>SUBTOTAL(109,dotação_37.02[Quantidade])</f>
        <v>0</v>
      </c>
      <c r="E32" s="23"/>
      <c r="F32" s="24"/>
      <c r="G32" s="57">
        <f>SUBTOTAL(109,dotação_37.02[VALOR MENSAL])</f>
        <v>0</v>
      </c>
      <c r="H32" s="25"/>
      <c r="I32" s="25"/>
      <c r="J32" s="25"/>
      <c r="K32" s="25"/>
      <c r="L32" s="24"/>
      <c r="M32" s="26">
        <f>SUBTOTAL(109,dotação_37.02[GLOSA])</f>
        <v>0</v>
      </c>
    </row>
  </sheetData>
  <mergeCells count="14">
    <mergeCell ref="B19:D19"/>
    <mergeCell ref="E19:M19"/>
    <mergeCell ref="B2:E2"/>
    <mergeCell ref="B4:E4"/>
    <mergeCell ref="B16:C17"/>
    <mergeCell ref="G20:G21"/>
    <mergeCell ref="H20:H21"/>
    <mergeCell ref="I20:L20"/>
    <mergeCell ref="M20:M21"/>
    <mergeCell ref="B20:B21"/>
    <mergeCell ref="C20:C21"/>
    <mergeCell ref="D20:D21"/>
    <mergeCell ref="E20:E21"/>
    <mergeCell ref="F20:F21"/>
  </mergeCells>
  <dataValidations count="1">
    <dataValidation type="list" allowBlank="1" showErrorMessage="1" error="ESCOLHER SOMENTE AS OPÇÕES DA LISTA" sqref="E23:E31" xr:uid="{B24D80EC-BFE8-4741-9DD7-9F7E322B3EC2}">
      <formula1>"20,30,36,40,44,48,12x36,12-SDF,M2"</formula1>
    </dataValidation>
  </dataValidations>
  <pageMargins left="0.511811024" right="0.511811024" top="0.78740157499999996" bottom="0.78740157499999996" header="0.31496062000000002" footer="0.31496062000000002"/>
  <pageSetup paperSize="8" orientation="landscape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Dados do Contrato</vt:lpstr>
      <vt:lpstr>Indicadores Gerais - 1 a 4</vt:lpstr>
      <vt:lpstr>Bloco 1 - Dot. Orçam. 37.01</vt:lpstr>
      <vt:lpstr>Bloco 2 - Dot.Orçam. 37.04</vt:lpstr>
      <vt:lpstr>Bloco 3 - Dot. Orçam. 37.06</vt:lpstr>
      <vt:lpstr>Bloco 4 - Dot. Orçam. 37.07</vt:lpstr>
      <vt:lpstr>Bloco 5 - Dot. Orçam. 37.08</vt:lpstr>
      <vt:lpstr>Bloco 6 - Dot. Orçam. 37.09</vt:lpstr>
      <vt:lpstr>Bloco 7 - Dot. Orçam. 37.02</vt:lpstr>
      <vt:lpstr>Resumo_GQT-GQL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Valentin Grando Junior</dc:creator>
  <cp:lastModifiedBy>clayton.erik@SEAPSL.SMB4.PARANA</cp:lastModifiedBy>
  <cp:lastPrinted>2023-11-07T14:55:15Z</cp:lastPrinted>
  <dcterms:created xsi:type="dcterms:W3CDTF">2023-08-08T17:01:49Z</dcterms:created>
  <dcterms:modified xsi:type="dcterms:W3CDTF">2026-03-16T16:15:46Z</dcterms:modified>
</cp:coreProperties>
</file>